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3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000049064\Desktop\Budget\FY15\"/>
    </mc:Choice>
  </mc:AlternateContent>
  <bookViews>
    <workbookView xWindow="0" yWindow="240" windowWidth="15360" windowHeight="7512" tabRatio="597"/>
  </bookViews>
  <sheets>
    <sheet name="AreasSum" sheetId="91" r:id="rId1"/>
    <sheet name="AreasofU" sheetId="90" r:id="rId2"/>
    <sheet name="summaryLines" sheetId="86" r:id="rId3"/>
    <sheet name="summaryGraph" sheetId="94" r:id="rId4"/>
    <sheet name="Regular" sheetId="37" r:id="rId5"/>
    <sheet name="Support" sheetId="57" r:id="rId6"/>
    <sheet name="Humanities" sheetId="93" r:id="rId7"/>
    <sheet name="Art" sheetId="38" r:id="rId8"/>
    <sheet name="Elem" sheetId="33" r:id="rId9"/>
    <sheet name="Middle" sheetId="39" r:id="rId10"/>
    <sheet name="Sec" sheetId="31" r:id="rId11"/>
    <sheet name="Business" sheetId="26" r:id="rId12"/>
    <sheet name="World" sheetId="40" r:id="rId13"/>
    <sheet name="Health" sheetId="23" r:id="rId14"/>
    <sheet name="Kinder" sheetId="41" r:id="rId15"/>
    <sheet name="LArts" sheetId="42" r:id="rId16"/>
    <sheet name="Math" sheetId="21" r:id="rId17"/>
    <sheet name="Choral" sheetId="43" r:id="rId18"/>
    <sheet name="PE" sheetId="24" r:id="rId19"/>
    <sheet name="Reading" sheetId="44" r:id="rId20"/>
    <sheet name="Science" sheetId="35" r:id="rId21"/>
    <sheet name="SocStudies" sheetId="5" r:id="rId22"/>
    <sheet name="GAT" sheetId="13" r:id="rId23"/>
    <sheet name="InstMusic" sheetId="46" r:id="rId24"/>
    <sheet name="Materials" sheetId="50" r:id="rId25"/>
    <sheet name="Driver" sheetId="51" r:id="rId26"/>
    <sheet name="Screening" sheetId="52" r:id="rId27"/>
    <sheet name="504" sheetId="53" r:id="rId28"/>
    <sheet name="Magnets" sheetId="15" r:id="rId29"/>
    <sheet name="SAS" sheetId="30" r:id="rId30"/>
    <sheet name="Grad" sheetId="19" r:id="rId31"/>
    <sheet name="High Needs" sheetId="20" r:id="rId32"/>
    <sheet name="Alt" sheetId="55" r:id="rId33"/>
    <sheet name="SpEdInst" sheetId="75" r:id="rId34"/>
    <sheet name="SpEdSup" sheetId="77" r:id="rId35"/>
    <sheet name="CTI" sheetId="25" r:id="rId36"/>
    <sheet name="CTS" sheetId="28" r:id="rId37"/>
    <sheet name="TI" sheetId="27" r:id="rId38"/>
    <sheet name="Literacy" sheetId="84" r:id="rId39"/>
    <sheet name="General" sheetId="47" r:id="rId40"/>
    <sheet name="Athletics" sheetId="49" r:id="rId41"/>
    <sheet name="Wellness" sheetId="81" r:id="rId42"/>
    <sheet name="Instruction" sheetId="58" r:id="rId43"/>
    <sheet name="Libraries" sheetId="9" r:id="rId44"/>
    <sheet name="Devel" sheetId="34" r:id="rId45"/>
    <sheet name="Adult" sheetId="29" r:id="rId46"/>
    <sheet name="Summer" sheetId="83" r:id="rId47"/>
    <sheet name="TAP" sheetId="87" r:id="rId48"/>
    <sheet name="FamilyCom" sheetId="88" r:id="rId49"/>
    <sheet name="Grants" sheetId="89" r:id="rId50"/>
    <sheet name="Attendance" sheetId="60" r:id="rId51"/>
    <sheet name="HlthSvs" sheetId="36" r:id="rId52"/>
    <sheet name="OStuSup" sheetId="65" r:id="rId53"/>
    <sheet name="Pupil" sheetId="64" r:id="rId54"/>
    <sheet name="Curriculum" sheetId="63" r:id="rId55"/>
    <sheet name="Transfer" sheetId="62" r:id="rId56"/>
    <sheet name="Guidance" sheetId="61" r:id="rId57"/>
    <sheet name="Prin" sheetId="72" r:id="rId58"/>
    <sheet name="Board" sheetId="70" r:id="rId59"/>
    <sheet name="Super" sheetId="69" r:id="rId60"/>
    <sheet name="Fiscal" sheetId="66" r:id="rId61"/>
    <sheet name="WH" sheetId="68" r:id="rId62"/>
    <sheet name="Security" sheetId="32" r:id="rId63"/>
    <sheet name="Oper" sheetId="11" r:id="rId64"/>
    <sheet name="Maint" sheetId="10" r:id="rId65"/>
    <sheet name="Facilities" sheetId="1" r:id="rId66"/>
    <sheet name="HR Operations" sheetId="12" r:id="rId67"/>
    <sheet name="HR Benefits" sheetId="92" r:id="rId68"/>
    <sheet name="Central" sheetId="80" r:id="rId69"/>
    <sheet name="Tech" sheetId="73" r:id="rId70"/>
    <sheet name="Innovation" sheetId="96" r:id="rId71"/>
    <sheet name="InstrTech" sheetId="95" r:id="rId72"/>
    <sheet name="Publications" sheetId="8" r:id="rId73"/>
    <sheet name="Public" sheetId="7" r:id="rId74"/>
    <sheet name="Accountability" sheetId="85" r:id="rId75"/>
    <sheet name="Trsp" sheetId="79" r:id="rId76"/>
    <sheet name="Other" sheetId="74" r:id="rId77"/>
  </sheets>
  <definedNames>
    <definedName name="_xlnm.Print_Area" localSheetId="27">'504'!$A$1:$E$35</definedName>
    <definedName name="_xlnm.Print_Area" localSheetId="74">Accountability!$A$1:$E$37</definedName>
    <definedName name="_xlnm.Print_Area" localSheetId="45">Adult!$A$1:$E$29</definedName>
    <definedName name="_xlnm.Print_Area" localSheetId="32">Alt!$A$1:$E$60</definedName>
    <definedName name="_xlnm.Print_Area" localSheetId="1">AreasofU!$A$8:$H$178</definedName>
    <definedName name="_xlnm.Print_Area" localSheetId="0">AreasSum!$A$1:$V$59</definedName>
    <definedName name="_xlnm.Print_Area" localSheetId="40">Athletics!$A$1:$E$21</definedName>
    <definedName name="_xlnm.Print_Area" localSheetId="50">Attendance!$A$1:$E$34</definedName>
    <definedName name="_xlnm.Print_Area" localSheetId="58">Board!$A$1:$E$41</definedName>
    <definedName name="_xlnm.Print_Area" localSheetId="11">Business!$A$1:$E$16</definedName>
    <definedName name="_xlnm.Print_Area" localSheetId="68">Central!$A$1:$E$17</definedName>
    <definedName name="_xlnm.Print_Area" localSheetId="17">Choral!$A$1:$E$34</definedName>
    <definedName name="_xlnm.Print_Area" localSheetId="35">CTI!$A$1:$E$39</definedName>
    <definedName name="_xlnm.Print_Area" localSheetId="36">CTS!$A$1:$E$35</definedName>
    <definedName name="_xlnm.Print_Area" localSheetId="54">Curriculum!$A$1:$E$20</definedName>
    <definedName name="_xlnm.Print_Area" localSheetId="44">Devel!$A$1:$E$23</definedName>
    <definedName name="_xlnm.Print_Area" localSheetId="25">Driver!$A$1:$E$29</definedName>
    <definedName name="_xlnm.Print_Area" localSheetId="8">Elem!$A$1:$E$35</definedName>
    <definedName name="_xlnm.Print_Area" localSheetId="65">Facilities!$A$1:$E$35</definedName>
    <definedName name="_xlnm.Print_Area" localSheetId="48">FamilyCom!$A$1:$E$31</definedName>
    <definedName name="_xlnm.Print_Area" localSheetId="60">Fiscal!$A$1:$E$37</definedName>
    <definedName name="_xlnm.Print_Area" localSheetId="22">GAT!$A$1:$E$31</definedName>
    <definedName name="_xlnm.Print_Area" localSheetId="39">General!$A$1:$E$20</definedName>
    <definedName name="_xlnm.Print_Area" localSheetId="56">Guidance!$A$1:$E$16</definedName>
    <definedName name="_xlnm.Print_Area" localSheetId="13">Health!$A$1:$E$13</definedName>
    <definedName name="_xlnm.Print_Area" localSheetId="31">'High Needs'!$A$1:$E$22</definedName>
    <definedName name="_xlnm.Print_Area" localSheetId="51">HlthSvs!$A$1:$E$39</definedName>
    <definedName name="_xlnm.Print_Area" localSheetId="66">'HR Operations'!$A$1:$E$42</definedName>
    <definedName name="_xlnm.Print_Area" localSheetId="70">Innovation!$A$1:$E$22</definedName>
    <definedName name="_xlnm.Print_Area" localSheetId="23">InstMusic!$A$1:$E$32</definedName>
    <definedName name="_xlnm.Print_Area" localSheetId="42">Instruction!$A$1:$E$20</definedName>
    <definedName name="_xlnm.Print_Area" localSheetId="14">Kinder!$A$1:$E$13</definedName>
    <definedName name="_xlnm.Print_Area" localSheetId="15">LArts!$A$1:$E$32</definedName>
    <definedName name="_xlnm.Print_Area" localSheetId="43">Libraries!$A$1:$E$18</definedName>
    <definedName name="_xlnm.Print_Area" localSheetId="38">Literacy!$A$1:$E$16</definedName>
    <definedName name="_xlnm.Print_Area" localSheetId="28">Magnets!$A$1:$E$72</definedName>
    <definedName name="_xlnm.Print_Area" localSheetId="64">Maint!$A$1:$E$45</definedName>
    <definedName name="_xlnm.Print_Area" localSheetId="24">Materials!$A$1:$E$13</definedName>
    <definedName name="_xlnm.Print_Area" localSheetId="16">Math!$A$1:$E$25</definedName>
    <definedName name="_xlnm.Print_Area" localSheetId="9">Middle!$A$1:$E$31</definedName>
    <definedName name="_xlnm.Print_Area" localSheetId="63">Oper!$A$1:$E$52</definedName>
    <definedName name="_xlnm.Print_Area" localSheetId="52">OStuSup!$A$1:$E$29</definedName>
    <definedName name="_xlnm.Print_Area" localSheetId="76">Other!$A$1:$E$20</definedName>
    <definedName name="_xlnm.Print_Area" localSheetId="18">PE!$A$1:$E$24</definedName>
    <definedName name="_xlnm.Print_Area" localSheetId="57">Prin!$A$1:$E$32</definedName>
    <definedName name="_xlnm.Print_Area" localSheetId="73">Public!$A$1:$E$32</definedName>
    <definedName name="_xlnm.Print_Area" localSheetId="72">Publications!$A$1:$E$16</definedName>
    <definedName name="_xlnm.Print_Area" localSheetId="53">Pupil!$A$1:$E$14</definedName>
    <definedName name="_xlnm.Print_Area" localSheetId="19">Reading!$A$1:$E$50</definedName>
    <definedName name="_xlnm.Print_Area" localSheetId="4">Regular!$A$1:$E$32</definedName>
    <definedName name="_xlnm.Print_Area" localSheetId="29">SAS!$A$1:$E$12</definedName>
    <definedName name="_xlnm.Print_Area" localSheetId="20">Science!$A$1:$E$39</definedName>
    <definedName name="_xlnm.Print_Area" localSheetId="26">Screening!$A$1:$E$37</definedName>
    <definedName name="_xlnm.Print_Area" localSheetId="10">Sec!$A$1:$E$39</definedName>
    <definedName name="_xlnm.Print_Area" localSheetId="62">Security!$A$1:$E$36</definedName>
    <definedName name="_xlnm.Print_Area" localSheetId="21">SocStudies!$A$1:$E$31</definedName>
    <definedName name="_xlnm.Print_Area" localSheetId="3">summaryGraph!$A$1:$F$28</definedName>
    <definedName name="_xlnm.Print_Area" localSheetId="2">summaryLines!$A$1:$I$88</definedName>
    <definedName name="_xlnm.Print_Area" localSheetId="46">Summer!$A$1:$E$18</definedName>
    <definedName name="_xlnm.Print_Area" localSheetId="5">Support!$A$1:$E$37</definedName>
    <definedName name="_xlnm.Print_Area" localSheetId="69">Tech!$A$1:$E$41</definedName>
    <definedName name="_xlnm.Print_Area" localSheetId="37">TI!$A$1:$E$15</definedName>
    <definedName name="_xlnm.Print_Area" localSheetId="55">Transfer!$A$1:$E$31</definedName>
    <definedName name="_xlnm.Print_Area" localSheetId="75">Trsp!$A$1:$E$72</definedName>
    <definedName name="_xlnm.Print_Area" localSheetId="41">Wellness!$A$1:$E$19</definedName>
    <definedName name="_xlnm.Print_Area" localSheetId="61">WH!$A$1:$E$28</definedName>
    <definedName name="_xlnm.Print_Area" localSheetId="12">World!$A$1:$E$23</definedName>
    <definedName name="_xlnm.Print_Titles" localSheetId="1">AreasofU!$1:$7</definedName>
    <definedName name="_xlnm.Print_Titles" localSheetId="2">summaryLines!$1:$8</definedName>
    <definedName name="_xlnm.Print_Titles" localSheetId="75">Trsp!$1:$6</definedName>
  </definedNames>
  <calcPr calcId="152511" fullCalcOnLoad="1"/>
</workbook>
</file>

<file path=xl/calcChain.xml><?xml version="1.0" encoding="utf-8"?>
<calcChain xmlns="http://schemas.openxmlformats.org/spreadsheetml/2006/main">
  <c r="D8" i="37" l="1"/>
  <c r="D18" i="74"/>
  <c r="D58" i="79"/>
  <c r="D57" i="79"/>
  <c r="D54" i="79"/>
  <c r="D64" i="79"/>
  <c r="D49" i="79"/>
  <c r="D45" i="79"/>
  <c r="D8" i="79"/>
  <c r="D16" i="79"/>
  <c r="D11" i="79"/>
  <c r="D9" i="79"/>
  <c r="D15" i="79"/>
  <c r="D14" i="79"/>
  <c r="D15" i="85"/>
  <c r="D14" i="85"/>
  <c r="D13" i="85"/>
  <c r="D9" i="85"/>
  <c r="D8" i="85"/>
  <c r="D15" i="7"/>
  <c r="D14" i="7"/>
  <c r="D13" i="7"/>
  <c r="D10" i="7"/>
  <c r="D9" i="7"/>
  <c r="D8" i="7"/>
  <c r="D14" i="95"/>
  <c r="D13" i="95"/>
  <c r="D12" i="95"/>
  <c r="D9" i="95"/>
  <c r="D8" i="95"/>
  <c r="D15" i="73"/>
  <c r="D14" i="73"/>
  <c r="D13" i="73"/>
  <c r="D9" i="73"/>
  <c r="D8" i="73"/>
  <c r="D12" i="80"/>
  <c r="D11" i="80"/>
  <c r="D8" i="80"/>
  <c r="D15" i="92"/>
  <c r="D14" i="92"/>
  <c r="D13" i="92"/>
  <c r="D10" i="92"/>
  <c r="D9" i="92"/>
  <c r="D8" i="92"/>
  <c r="D16" i="12"/>
  <c r="D15" i="12"/>
  <c r="D14" i="12"/>
  <c r="D10" i="12"/>
  <c r="D9" i="12"/>
  <c r="D8" i="12"/>
  <c r="D12" i="1"/>
  <c r="D11" i="1"/>
  <c r="D8" i="1"/>
  <c r="D13" i="10"/>
  <c r="D12" i="10"/>
  <c r="D9" i="10"/>
  <c r="D8" i="10"/>
  <c r="D15" i="11"/>
  <c r="D14" i="11"/>
  <c r="D11" i="11"/>
  <c r="D10" i="11"/>
  <c r="D8" i="11"/>
  <c r="D14" i="32"/>
  <c r="D13" i="32"/>
  <c r="D10" i="32"/>
  <c r="D9" i="32"/>
  <c r="D8" i="32"/>
  <c r="D12" i="68"/>
  <c r="D11" i="68"/>
  <c r="D8" i="68"/>
  <c r="D17" i="66"/>
  <c r="D16" i="66"/>
  <c r="D15" i="66"/>
  <c r="D12" i="66"/>
  <c r="D11" i="66"/>
  <c r="D9" i="66"/>
  <c r="D8" i="66"/>
  <c r="D16" i="69"/>
  <c r="D15" i="69"/>
  <c r="D10" i="69"/>
  <c r="D8" i="69"/>
  <c r="D20" i="37"/>
  <c r="D19" i="37"/>
  <c r="D8" i="70"/>
  <c r="D19" i="72"/>
  <c r="D18" i="72"/>
  <c r="D17" i="72"/>
  <c r="D13" i="72"/>
  <c r="D12" i="72"/>
  <c r="D9" i="72"/>
  <c r="D8" i="72"/>
  <c r="D14" i="62"/>
  <c r="D13" i="62"/>
  <c r="D12" i="62"/>
  <c r="D9" i="62"/>
  <c r="D8" i="62"/>
  <c r="D19" i="65"/>
  <c r="D18" i="65"/>
  <c r="D17" i="65"/>
  <c r="D11" i="65"/>
  <c r="D10" i="65"/>
  <c r="D9" i="65"/>
  <c r="D8" i="65"/>
  <c r="D13" i="36"/>
  <c r="D12" i="36"/>
  <c r="D11" i="36"/>
  <c r="D8" i="36"/>
  <c r="D16" i="60"/>
  <c r="D15" i="60"/>
  <c r="D14" i="60"/>
  <c r="D9" i="60"/>
  <c r="D8" i="60"/>
  <c r="D13" i="29"/>
  <c r="D12" i="29"/>
  <c r="D9" i="29"/>
  <c r="D8" i="29"/>
  <c r="D16" i="28"/>
  <c r="D15" i="28"/>
  <c r="D14" i="28"/>
  <c r="D10" i="28"/>
  <c r="D9" i="28"/>
  <c r="D8" i="28"/>
  <c r="D17" i="25"/>
  <c r="D16" i="25"/>
  <c r="D9" i="25"/>
  <c r="D8" i="25"/>
  <c r="D22" i="77"/>
  <c r="D21" i="77"/>
  <c r="D20" i="77"/>
  <c r="D14" i="77"/>
  <c r="D13" i="77"/>
  <c r="D12" i="77"/>
  <c r="D11" i="77"/>
  <c r="D10" i="77"/>
  <c r="D9" i="77"/>
  <c r="D8" i="77"/>
  <c r="D22" i="75"/>
  <c r="D21" i="75"/>
  <c r="D20" i="75"/>
  <c r="D17" i="75"/>
  <c r="D13" i="75"/>
  <c r="D12" i="75"/>
  <c r="D11" i="75"/>
  <c r="D10" i="75"/>
  <c r="D9" i="75"/>
  <c r="D8" i="75"/>
  <c r="D42" i="55"/>
  <c r="D41" i="55"/>
  <c r="D40" i="55"/>
  <c r="D37" i="55"/>
  <c r="D35" i="55"/>
  <c r="D34" i="55"/>
  <c r="D33" i="55"/>
  <c r="D32" i="55"/>
  <c r="D31" i="55"/>
  <c r="D30" i="55"/>
  <c r="D17" i="55"/>
  <c r="D16" i="55"/>
  <c r="D15" i="55"/>
  <c r="D12" i="55"/>
  <c r="D10" i="55"/>
  <c r="D9" i="55"/>
  <c r="D8" i="55"/>
  <c r="D23" i="57"/>
  <c r="D22" i="57"/>
  <c r="D21" i="57"/>
  <c r="D12" i="57"/>
  <c r="D11" i="57"/>
  <c r="D10" i="57"/>
  <c r="D9" i="57"/>
  <c r="D8" i="57"/>
  <c r="D22" i="37"/>
  <c r="D21" i="37"/>
  <c r="D15" i="37"/>
  <c r="D10" i="37"/>
  <c r="D9" i="37"/>
  <c r="E26" i="72"/>
  <c r="D23" i="55"/>
  <c r="C13" i="70"/>
  <c r="E91" i="90"/>
  <c r="F91" i="90" s="1"/>
  <c r="E17" i="74"/>
  <c r="E15" i="96"/>
  <c r="E10" i="96"/>
  <c r="D19" i="96"/>
  <c r="D22" i="96" s="1"/>
  <c r="C19" i="96"/>
  <c r="C22" i="96" s="1"/>
  <c r="B76" i="86" s="1"/>
  <c r="E18" i="96"/>
  <c r="D16" i="96"/>
  <c r="C16" i="96"/>
  <c r="E14" i="96"/>
  <c r="D12" i="96"/>
  <c r="C12" i="96"/>
  <c r="E11" i="96"/>
  <c r="E9" i="96"/>
  <c r="E24" i="73"/>
  <c r="D14" i="34"/>
  <c r="C14" i="34"/>
  <c r="E13" i="34"/>
  <c r="D10" i="34"/>
  <c r="C10" i="34"/>
  <c r="E9" i="34"/>
  <c r="E8" i="34"/>
  <c r="E10" i="34" s="1"/>
  <c r="D55" i="55"/>
  <c r="C55" i="55"/>
  <c r="E54" i="55"/>
  <c r="E55" i="55"/>
  <c r="C10" i="95"/>
  <c r="E25" i="95"/>
  <c r="E26" i="95"/>
  <c r="E22" i="95"/>
  <c r="E21" i="95"/>
  <c r="E23" i="95" s="1"/>
  <c r="E20" i="95"/>
  <c r="D26" i="95"/>
  <c r="D23" i="95"/>
  <c r="C23" i="95"/>
  <c r="C26" i="95"/>
  <c r="E9" i="95"/>
  <c r="D10" i="95"/>
  <c r="E19" i="37"/>
  <c r="C50" i="77"/>
  <c r="D50" i="77"/>
  <c r="E49" i="77"/>
  <c r="E25" i="77"/>
  <c r="E22" i="77"/>
  <c r="E11" i="77"/>
  <c r="E9" i="77"/>
  <c r="E9" i="75"/>
  <c r="E16" i="60"/>
  <c r="E20" i="65"/>
  <c r="E12" i="77"/>
  <c r="C36" i="36"/>
  <c r="D36" i="36"/>
  <c r="E35" i="36"/>
  <c r="E14" i="11"/>
  <c r="E9" i="11"/>
  <c r="E14" i="73"/>
  <c r="E15" i="73"/>
  <c r="E13" i="73"/>
  <c r="C18" i="95"/>
  <c r="E17" i="95"/>
  <c r="E16" i="95"/>
  <c r="E15" i="95"/>
  <c r="E14" i="95"/>
  <c r="E13" i="95"/>
  <c r="D18" i="95"/>
  <c r="E8" i="95"/>
  <c r="E10" i="95"/>
  <c r="D11" i="85"/>
  <c r="E16" i="66"/>
  <c r="E125" i="90"/>
  <c r="C10" i="69"/>
  <c r="E10" i="69"/>
  <c r="C21" i="69"/>
  <c r="C19" i="69"/>
  <c r="C18" i="69"/>
  <c r="E18" i="69"/>
  <c r="C17" i="69"/>
  <c r="C16" i="69"/>
  <c r="E16" i="69" s="1"/>
  <c r="E14" i="69"/>
  <c r="D10" i="88"/>
  <c r="C10" i="88"/>
  <c r="E9" i="88"/>
  <c r="D18" i="88"/>
  <c r="C18" i="88"/>
  <c r="E17" i="88"/>
  <c r="E16" i="88"/>
  <c r="E15" i="88"/>
  <c r="E14" i="88"/>
  <c r="E13" i="88"/>
  <c r="E12" i="88"/>
  <c r="E8" i="88"/>
  <c r="E10" i="88"/>
  <c r="D21" i="88"/>
  <c r="C21" i="88"/>
  <c r="E20" i="88"/>
  <c r="E21" i="88"/>
  <c r="E9" i="66"/>
  <c r="C12" i="31"/>
  <c r="E12" i="31" s="1"/>
  <c r="E17" i="57"/>
  <c r="E29" i="12"/>
  <c r="E34" i="12"/>
  <c r="D36" i="12"/>
  <c r="C33" i="12"/>
  <c r="C30" i="12"/>
  <c r="E30" i="12"/>
  <c r="C28" i="12"/>
  <c r="E28" i="12" s="1"/>
  <c r="C25" i="12"/>
  <c r="C24" i="12"/>
  <c r="E24" i="12"/>
  <c r="C20" i="12"/>
  <c r="E20" i="12" s="1"/>
  <c r="C19" i="12"/>
  <c r="E19" i="12"/>
  <c r="C18" i="12"/>
  <c r="C17" i="12"/>
  <c r="E17" i="12"/>
  <c r="C27" i="65"/>
  <c r="C9" i="33"/>
  <c r="C11" i="33"/>
  <c r="D92" i="90"/>
  <c r="C25" i="39"/>
  <c r="C29" i="33"/>
  <c r="D25" i="55"/>
  <c r="C25" i="55"/>
  <c r="E24" i="55"/>
  <c r="C60" i="15"/>
  <c r="E9" i="39"/>
  <c r="D18" i="63"/>
  <c r="E92" i="90"/>
  <c r="E18" i="74"/>
  <c r="E90" i="90"/>
  <c r="D90" i="90"/>
  <c r="F90" i="90" s="1"/>
  <c r="E16" i="74"/>
  <c r="E26" i="73"/>
  <c r="D10" i="63"/>
  <c r="C10" i="63"/>
  <c r="E8" i="63"/>
  <c r="D27" i="65"/>
  <c r="D61" i="15"/>
  <c r="D63" i="15"/>
  <c r="E108" i="90"/>
  <c r="B42" i="91"/>
  <c r="B44" i="91"/>
  <c r="D133" i="90"/>
  <c r="B15" i="91" s="1"/>
  <c r="D14" i="93"/>
  <c r="D17" i="93" s="1"/>
  <c r="C14" i="93"/>
  <c r="C17" i="93" s="1"/>
  <c r="E13" i="93"/>
  <c r="E14" i="93"/>
  <c r="D11" i="93"/>
  <c r="C11" i="93"/>
  <c r="E10" i="93"/>
  <c r="E9" i="93"/>
  <c r="E11" i="93" s="1"/>
  <c r="E17" i="93"/>
  <c r="C55" i="86"/>
  <c r="D32" i="92"/>
  <c r="C32" i="92"/>
  <c r="E31" i="92"/>
  <c r="E30" i="92"/>
  <c r="D28" i="92"/>
  <c r="C28" i="92"/>
  <c r="E27" i="92"/>
  <c r="E26" i="92"/>
  <c r="E25" i="92"/>
  <c r="E24" i="92"/>
  <c r="E23" i="92"/>
  <c r="E22" i="92"/>
  <c r="D20" i="92"/>
  <c r="C20" i="92"/>
  <c r="C34" i="92"/>
  <c r="B73" i="86" s="1"/>
  <c r="E19" i="92"/>
  <c r="E18" i="92"/>
  <c r="E17" i="92"/>
  <c r="E16" i="92"/>
  <c r="E15" i="92"/>
  <c r="E14" i="92"/>
  <c r="E13" i="92"/>
  <c r="D11" i="92"/>
  <c r="C11" i="92"/>
  <c r="E10" i="92"/>
  <c r="E9" i="92"/>
  <c r="E8" i="92"/>
  <c r="D68" i="15"/>
  <c r="D70" i="15" s="1"/>
  <c r="E57" i="90" s="1"/>
  <c r="C68" i="15"/>
  <c r="C70" i="15"/>
  <c r="D57" i="90" s="1"/>
  <c r="E67" i="15"/>
  <c r="E68" i="15" s="1"/>
  <c r="E70" i="15" s="1"/>
  <c r="D54" i="15"/>
  <c r="D56" i="15"/>
  <c r="E119" i="90" s="1"/>
  <c r="C54" i="15"/>
  <c r="C56" i="15"/>
  <c r="D119" i="90" s="1"/>
  <c r="E53" i="15"/>
  <c r="E54" i="15" s="1"/>
  <c r="E56" i="15"/>
  <c r="D47" i="15"/>
  <c r="C47" i="15"/>
  <c r="E46" i="15"/>
  <c r="E47" i="15"/>
  <c r="E49" i="15" s="1"/>
  <c r="D44" i="15"/>
  <c r="C44" i="15"/>
  <c r="E43" i="15"/>
  <c r="E44" i="15" s="1"/>
  <c r="C23" i="32"/>
  <c r="E18" i="33"/>
  <c r="E17" i="33"/>
  <c r="E10" i="33"/>
  <c r="E12" i="38"/>
  <c r="C45" i="44"/>
  <c r="C11" i="39"/>
  <c r="C13" i="39" s="1"/>
  <c r="C9" i="38"/>
  <c r="C13" i="38"/>
  <c r="C15" i="38" s="1"/>
  <c r="C25" i="37"/>
  <c r="E26" i="77"/>
  <c r="E25" i="75"/>
  <c r="E13" i="75"/>
  <c r="E12" i="29"/>
  <c r="E24" i="57"/>
  <c r="O155" i="86"/>
  <c r="O154" i="86"/>
  <c r="O153" i="86"/>
  <c r="O152" i="86"/>
  <c r="O151" i="86"/>
  <c r="O150" i="86"/>
  <c r="B40" i="91"/>
  <c r="E89" i="90"/>
  <c r="D89" i="90"/>
  <c r="F89" i="90" s="1"/>
  <c r="E88" i="90"/>
  <c r="D88" i="90"/>
  <c r="E87" i="90"/>
  <c r="D87" i="90"/>
  <c r="F87" i="90"/>
  <c r="E86" i="90"/>
  <c r="D86" i="90"/>
  <c r="F86" i="90" s="1"/>
  <c r="E85" i="90"/>
  <c r="F85" i="90" s="1"/>
  <c r="D85" i="90"/>
  <c r="E84" i="90"/>
  <c r="D84" i="90"/>
  <c r="F84" i="90" s="1"/>
  <c r="E26" i="90"/>
  <c r="D26" i="90"/>
  <c r="F26" i="90"/>
  <c r="D125" i="90"/>
  <c r="F125" i="90"/>
  <c r="E25" i="90"/>
  <c r="D25" i="90"/>
  <c r="F25" i="90" s="1"/>
  <c r="E24" i="90"/>
  <c r="D24" i="90"/>
  <c r="E23" i="90"/>
  <c r="D23" i="90"/>
  <c r="D27" i="90" s="1"/>
  <c r="E22" i="90"/>
  <c r="D22" i="90"/>
  <c r="D18" i="75"/>
  <c r="D49" i="55"/>
  <c r="C49" i="55"/>
  <c r="E48" i="55"/>
  <c r="E49" i="55" s="1"/>
  <c r="D52" i="55"/>
  <c r="C52" i="55"/>
  <c r="E51" i="55"/>
  <c r="E52" i="55" s="1"/>
  <c r="E33" i="55"/>
  <c r="D16" i="89"/>
  <c r="C16" i="89"/>
  <c r="E15" i="89"/>
  <c r="E16" i="89" s="1"/>
  <c r="D13" i="89"/>
  <c r="C13" i="89"/>
  <c r="C19" i="89" s="1"/>
  <c r="E12" i="89"/>
  <c r="E11" i="89"/>
  <c r="E13" i="89" s="1"/>
  <c r="D9" i="89"/>
  <c r="C9" i="89"/>
  <c r="E8" i="89"/>
  <c r="E9" i="89"/>
  <c r="D24" i="88"/>
  <c r="C24" i="88"/>
  <c r="C27" i="88" s="1"/>
  <c r="D56" i="90" s="1"/>
  <c r="E23" i="88"/>
  <c r="E24" i="88"/>
  <c r="D9" i="87"/>
  <c r="D12" i="87"/>
  <c r="C9" i="87"/>
  <c r="C12" i="87"/>
  <c r="B53" i="86" s="1"/>
  <c r="E8" i="87"/>
  <c r="E9" i="87" s="1"/>
  <c r="E12" i="87"/>
  <c r="E30" i="57"/>
  <c r="E31" i="57"/>
  <c r="E20" i="31"/>
  <c r="E27" i="11"/>
  <c r="E36" i="73"/>
  <c r="D38" i="73"/>
  <c r="C38" i="73"/>
  <c r="E15" i="74"/>
  <c r="E14" i="74"/>
  <c r="E13" i="74"/>
  <c r="E12" i="74"/>
  <c r="E11" i="74"/>
  <c r="E10" i="74"/>
  <c r="E9" i="74"/>
  <c r="E68" i="79"/>
  <c r="E67" i="79"/>
  <c r="E69" i="79" s="1"/>
  <c r="E64" i="79"/>
  <c r="E63" i="79"/>
  <c r="E65" i="79" s="1"/>
  <c r="E60" i="79"/>
  <c r="E59" i="79"/>
  <c r="E58" i="79"/>
  <c r="E57" i="79"/>
  <c r="E54" i="79"/>
  <c r="E55" i="79"/>
  <c r="E49" i="79"/>
  <c r="E50" i="79"/>
  <c r="E41" i="79"/>
  <c r="E42" i="79"/>
  <c r="E38" i="79"/>
  <c r="E37" i="79"/>
  <c r="E36" i="79"/>
  <c r="E35" i="79"/>
  <c r="E34" i="79"/>
  <c r="E39" i="79" s="1"/>
  <c r="E31" i="79"/>
  <c r="E30" i="79"/>
  <c r="E29" i="79"/>
  <c r="E28" i="79"/>
  <c r="E27" i="79"/>
  <c r="E26" i="79"/>
  <c r="E25" i="79"/>
  <c r="E24" i="79"/>
  <c r="E32" i="79" s="1"/>
  <c r="E23" i="79"/>
  <c r="E20" i="79"/>
  <c r="E19" i="79"/>
  <c r="E18" i="79"/>
  <c r="E17" i="79"/>
  <c r="E16" i="79"/>
  <c r="E15" i="79"/>
  <c r="E14" i="79"/>
  <c r="E11" i="79"/>
  <c r="E10" i="79"/>
  <c r="E9" i="79"/>
  <c r="E8" i="79"/>
  <c r="E33" i="85"/>
  <c r="E34" i="85" s="1"/>
  <c r="E30" i="85"/>
  <c r="E29" i="85"/>
  <c r="E31" i="85" s="1"/>
  <c r="E25" i="85"/>
  <c r="E24" i="85"/>
  <c r="E22" i="85"/>
  <c r="E19" i="85"/>
  <c r="E18" i="85"/>
  <c r="E17" i="85"/>
  <c r="E16" i="85"/>
  <c r="E15" i="85"/>
  <c r="E14" i="85"/>
  <c r="E13" i="85"/>
  <c r="E10" i="85"/>
  <c r="E9" i="85"/>
  <c r="E8" i="85"/>
  <c r="E28" i="7"/>
  <c r="E29" i="7"/>
  <c r="E25" i="7"/>
  <c r="E24" i="7"/>
  <c r="E26" i="7" s="1"/>
  <c r="E23" i="7"/>
  <c r="E22" i="7"/>
  <c r="E19" i="7"/>
  <c r="E18" i="7"/>
  <c r="E17" i="7"/>
  <c r="E16" i="7"/>
  <c r="E15" i="7"/>
  <c r="E14" i="7"/>
  <c r="E13" i="7"/>
  <c r="E10" i="7"/>
  <c r="E9" i="7"/>
  <c r="E8" i="7"/>
  <c r="E12" i="8"/>
  <c r="E9" i="8"/>
  <c r="E10" i="8"/>
  <c r="E16" i="8" s="1"/>
  <c r="E8" i="8"/>
  <c r="E37" i="73"/>
  <c r="E33" i="73"/>
  <c r="E34" i="73" s="1"/>
  <c r="E30" i="73"/>
  <c r="E29" i="73"/>
  <c r="E31" i="73"/>
  <c r="E25" i="73"/>
  <c r="E23" i="73"/>
  <c r="E22" i="73"/>
  <c r="E19" i="73"/>
  <c r="E18" i="73"/>
  <c r="E17" i="73"/>
  <c r="E16" i="73"/>
  <c r="E10" i="73"/>
  <c r="E9" i="73"/>
  <c r="E8" i="73"/>
  <c r="E12" i="80"/>
  <c r="E38" i="12"/>
  <c r="E39" i="12" s="1"/>
  <c r="E35" i="12"/>
  <c r="E27" i="12"/>
  <c r="E26" i="12"/>
  <c r="E23" i="12"/>
  <c r="E16" i="12"/>
  <c r="E13" i="12"/>
  <c r="E10" i="12"/>
  <c r="E31" i="1"/>
  <c r="E32" i="1" s="1"/>
  <c r="E28" i="1"/>
  <c r="E27" i="1"/>
  <c r="E26" i="1"/>
  <c r="E25" i="1"/>
  <c r="E22" i="1"/>
  <c r="E21" i="1"/>
  <c r="E20" i="1"/>
  <c r="E23" i="1" s="1"/>
  <c r="E17" i="1"/>
  <c r="E16" i="1"/>
  <c r="E15" i="1"/>
  <c r="E14" i="1"/>
  <c r="E13" i="1"/>
  <c r="E12" i="1"/>
  <c r="E11" i="1"/>
  <c r="E8" i="1"/>
  <c r="E41" i="10"/>
  <c r="E40" i="10"/>
  <c r="E39" i="10"/>
  <c r="E42" i="10" s="1"/>
  <c r="E36" i="10"/>
  <c r="E35" i="10"/>
  <c r="E34" i="10"/>
  <c r="E33" i="10"/>
  <c r="E32" i="10"/>
  <c r="E37" i="10" s="1"/>
  <c r="E31" i="10"/>
  <c r="E30" i="10"/>
  <c r="E29" i="10"/>
  <c r="E26" i="10"/>
  <c r="E25" i="10"/>
  <c r="E24" i="10"/>
  <c r="E23" i="10"/>
  <c r="E22" i="10"/>
  <c r="E27" i="10" s="1"/>
  <c r="E45" i="10" s="1"/>
  <c r="E21" i="10"/>
  <c r="E20" i="10"/>
  <c r="E17" i="10"/>
  <c r="E16" i="10"/>
  <c r="E15" i="10"/>
  <c r="E14" i="10"/>
  <c r="E13" i="10"/>
  <c r="E12" i="10"/>
  <c r="E9" i="10"/>
  <c r="E8" i="10"/>
  <c r="E48" i="11"/>
  <c r="E47" i="11"/>
  <c r="E45" i="11"/>
  <c r="E44" i="11"/>
  <c r="E41" i="11"/>
  <c r="E42" i="11" s="1"/>
  <c r="E38" i="11"/>
  <c r="E37" i="11"/>
  <c r="E36" i="11"/>
  <c r="E35" i="11"/>
  <c r="E34" i="11"/>
  <c r="E33" i="11"/>
  <c r="E32" i="11"/>
  <c r="E31" i="11"/>
  <c r="E39" i="11" s="1"/>
  <c r="E28" i="11"/>
  <c r="E26" i="11"/>
  <c r="E25" i="11"/>
  <c r="E24" i="11"/>
  <c r="E23" i="11"/>
  <c r="E22" i="11"/>
  <c r="E21" i="11"/>
  <c r="E18" i="11"/>
  <c r="E17" i="11"/>
  <c r="E16" i="11"/>
  <c r="E11" i="11"/>
  <c r="E8" i="11"/>
  <c r="E32" i="32"/>
  <c r="E33" i="32"/>
  <c r="E29" i="32"/>
  <c r="E28" i="32"/>
  <c r="E27" i="32"/>
  <c r="E26" i="32"/>
  <c r="E30" i="32" s="1"/>
  <c r="E25" i="32"/>
  <c r="E22" i="32"/>
  <c r="E21" i="32"/>
  <c r="E23" i="32" s="1"/>
  <c r="E36" i="32" s="1"/>
  <c r="E20" i="32"/>
  <c r="E17" i="32"/>
  <c r="E16" i="32"/>
  <c r="E15" i="32"/>
  <c r="E14" i="32"/>
  <c r="E13" i="32"/>
  <c r="E10" i="32"/>
  <c r="E8" i="32"/>
  <c r="E24" i="68"/>
  <c r="E23" i="68"/>
  <c r="E22" i="68"/>
  <c r="E19" i="68"/>
  <c r="E20" i="68" s="1"/>
  <c r="E18" i="68"/>
  <c r="E15" i="68"/>
  <c r="E14" i="68"/>
  <c r="E13" i="68"/>
  <c r="E12" i="68"/>
  <c r="E11" i="68"/>
  <c r="E8" i="68"/>
  <c r="E33" i="66"/>
  <c r="E34" i="66" s="1"/>
  <c r="E32" i="66"/>
  <c r="E29" i="66"/>
  <c r="E28" i="66"/>
  <c r="E27" i="66"/>
  <c r="E30" i="66" s="1"/>
  <c r="E26" i="66"/>
  <c r="E25" i="66"/>
  <c r="E24" i="66"/>
  <c r="E21" i="66"/>
  <c r="E20" i="66"/>
  <c r="E19" i="66"/>
  <c r="E18" i="66"/>
  <c r="E17" i="66"/>
  <c r="E12" i="66"/>
  <c r="E11" i="66"/>
  <c r="E10" i="66"/>
  <c r="E8" i="66"/>
  <c r="E33" i="69"/>
  <c r="E32" i="69"/>
  <c r="E31" i="69"/>
  <c r="E34" i="69" s="1"/>
  <c r="E28" i="69"/>
  <c r="E27" i="69"/>
  <c r="E26" i="69"/>
  <c r="E25" i="69"/>
  <c r="E24" i="69"/>
  <c r="E21" i="69"/>
  <c r="E20" i="69"/>
  <c r="E17" i="69"/>
  <c r="E15" i="69"/>
  <c r="E13" i="69"/>
  <c r="E9" i="69"/>
  <c r="E37" i="70"/>
  <c r="E36" i="70"/>
  <c r="E35" i="70"/>
  <c r="E34" i="70"/>
  <c r="E38" i="70" s="1"/>
  <c r="E33" i="70"/>
  <c r="E30" i="70"/>
  <c r="E29" i="70"/>
  <c r="E26" i="70"/>
  <c r="E25" i="70"/>
  <c r="E24" i="70"/>
  <c r="E23" i="70"/>
  <c r="E22" i="70"/>
  <c r="E21" i="70"/>
  <c r="E27" i="70" s="1"/>
  <c r="E18" i="70"/>
  <c r="E17" i="70"/>
  <c r="E16" i="70"/>
  <c r="E15" i="70"/>
  <c r="E14" i="70"/>
  <c r="E13" i="70"/>
  <c r="E12" i="70"/>
  <c r="E9" i="70"/>
  <c r="E8" i="70"/>
  <c r="E28" i="72"/>
  <c r="E27" i="72"/>
  <c r="E25" i="72"/>
  <c r="E29" i="72"/>
  <c r="E22" i="72"/>
  <c r="E21" i="72"/>
  <c r="E20" i="72"/>
  <c r="E19" i="72"/>
  <c r="E23" i="72" s="1"/>
  <c r="E18" i="72"/>
  <c r="E17" i="72"/>
  <c r="E16" i="72"/>
  <c r="E13" i="72"/>
  <c r="E12" i="72"/>
  <c r="E11" i="72"/>
  <c r="E10" i="72"/>
  <c r="E9" i="72"/>
  <c r="E8" i="72"/>
  <c r="E12" i="61"/>
  <c r="E13" i="61" s="1"/>
  <c r="E9" i="61"/>
  <c r="E10" i="61" s="1"/>
  <c r="E8" i="61"/>
  <c r="E28" i="62"/>
  <c r="E29" i="62" s="1"/>
  <c r="E25" i="62"/>
  <c r="E26" i="62" s="1"/>
  <c r="E22" i="62"/>
  <c r="E21" i="62"/>
  <c r="E23" i="62" s="1"/>
  <c r="E18" i="62"/>
  <c r="E17" i="62"/>
  <c r="E16" i="62"/>
  <c r="E15" i="62"/>
  <c r="E14" i="62"/>
  <c r="E13" i="62"/>
  <c r="E12" i="62"/>
  <c r="E9" i="62"/>
  <c r="E8" i="62"/>
  <c r="E17" i="63"/>
  <c r="E18" i="63"/>
  <c r="E14" i="63"/>
  <c r="E15" i="63" s="1"/>
  <c r="E13" i="63"/>
  <c r="E12" i="63"/>
  <c r="E9" i="63"/>
  <c r="E10" i="64"/>
  <c r="E9" i="64"/>
  <c r="E8" i="64"/>
  <c r="E23" i="65"/>
  <c r="E22" i="65"/>
  <c r="E21" i="65"/>
  <c r="E19" i="65"/>
  <c r="E18" i="65"/>
  <c r="E17" i="65"/>
  <c r="E16" i="65"/>
  <c r="E13" i="65"/>
  <c r="E12" i="65"/>
  <c r="E11" i="65"/>
  <c r="E10" i="65"/>
  <c r="E8" i="65"/>
  <c r="E34" i="36"/>
  <c r="E36" i="36"/>
  <c r="E31" i="36"/>
  <c r="E30" i="36"/>
  <c r="E29" i="36"/>
  <c r="E28" i="36"/>
  <c r="E27" i="36"/>
  <c r="E24" i="36"/>
  <c r="E23" i="36"/>
  <c r="E22" i="36"/>
  <c r="E21" i="36"/>
  <c r="E25" i="36" s="1"/>
  <c r="E20" i="36"/>
  <c r="E17" i="36"/>
  <c r="E16" i="36"/>
  <c r="E15" i="36"/>
  <c r="E14" i="36"/>
  <c r="E13" i="36"/>
  <c r="E12" i="36"/>
  <c r="E8" i="36"/>
  <c r="E9" i="36" s="1"/>
  <c r="E30" i="60"/>
  <c r="E31" i="60" s="1"/>
  <c r="E27" i="60"/>
  <c r="E26" i="60"/>
  <c r="E28" i="60"/>
  <c r="E23" i="60"/>
  <c r="E20" i="60"/>
  <c r="E19" i="60"/>
  <c r="E18" i="60"/>
  <c r="E17" i="60"/>
  <c r="E15" i="60"/>
  <c r="E14" i="60"/>
  <c r="E13" i="60"/>
  <c r="E10" i="60"/>
  <c r="E9" i="60"/>
  <c r="E8" i="60"/>
  <c r="E14" i="83"/>
  <c r="E15" i="83" s="1"/>
  <c r="E13" i="83"/>
  <c r="E12" i="83"/>
  <c r="E9" i="83"/>
  <c r="E8" i="83"/>
  <c r="E25" i="29"/>
  <c r="E26" i="29"/>
  <c r="E24" i="29"/>
  <c r="E21" i="29"/>
  <c r="E20" i="29"/>
  <c r="E17" i="29"/>
  <c r="E16" i="29"/>
  <c r="E15" i="29"/>
  <c r="E14" i="29"/>
  <c r="E13" i="29"/>
  <c r="E9" i="29"/>
  <c r="E8" i="29"/>
  <c r="E19" i="34"/>
  <c r="E20" i="34"/>
  <c r="E16" i="34"/>
  <c r="E12" i="34"/>
  <c r="E14" i="34" s="1"/>
  <c r="E14" i="9"/>
  <c r="E13" i="9"/>
  <c r="E12" i="9"/>
  <c r="E15" i="9" s="1"/>
  <c r="E18" i="9" s="1"/>
  <c r="E11" i="9"/>
  <c r="E8" i="9"/>
  <c r="E9" i="9" s="1"/>
  <c r="E16" i="58"/>
  <c r="E17" i="58" s="1"/>
  <c r="E13" i="58"/>
  <c r="E14" i="58"/>
  <c r="E12" i="58"/>
  <c r="E9" i="58"/>
  <c r="E8" i="58"/>
  <c r="E10" i="58"/>
  <c r="E15" i="81"/>
  <c r="E12" i="81"/>
  <c r="E11" i="81"/>
  <c r="E13" i="81" s="1"/>
  <c r="E8" i="81"/>
  <c r="E17" i="49"/>
  <c r="E16" i="49"/>
  <c r="E18" i="49" s="1"/>
  <c r="E13" i="49"/>
  <c r="E12" i="49"/>
  <c r="E14" i="49"/>
  <c r="E9" i="49"/>
  <c r="E8" i="49"/>
  <c r="E16" i="47"/>
  <c r="E15" i="47"/>
  <c r="E12" i="47"/>
  <c r="E11" i="47"/>
  <c r="E8" i="47"/>
  <c r="E9" i="47"/>
  <c r="E12" i="84"/>
  <c r="E9" i="84"/>
  <c r="E8" i="84"/>
  <c r="E10" i="84"/>
  <c r="E16" i="84" s="1"/>
  <c r="E11" i="27"/>
  <c r="E8" i="27"/>
  <c r="E9" i="27" s="1"/>
  <c r="E31" i="28"/>
  <c r="E32" i="28" s="1"/>
  <c r="E30" i="28"/>
  <c r="E27" i="28"/>
  <c r="E26" i="28"/>
  <c r="E25" i="28"/>
  <c r="E24" i="28"/>
  <c r="E23" i="28"/>
  <c r="E28" i="28" s="1"/>
  <c r="E20" i="28"/>
  <c r="E19" i="28"/>
  <c r="E18" i="28"/>
  <c r="E17" i="28"/>
  <c r="E16" i="28"/>
  <c r="E15" i="28"/>
  <c r="E14" i="28"/>
  <c r="E11" i="28"/>
  <c r="E10" i="28"/>
  <c r="E9" i="28"/>
  <c r="E8" i="28"/>
  <c r="E35" i="25"/>
  <c r="E36" i="25" s="1"/>
  <c r="E32" i="25"/>
  <c r="E33" i="25" s="1"/>
  <c r="E29" i="25"/>
  <c r="E28" i="25"/>
  <c r="E27" i="25"/>
  <c r="E26" i="25"/>
  <c r="E23" i="25"/>
  <c r="E24" i="25" s="1"/>
  <c r="E20" i="25"/>
  <c r="E19" i="25"/>
  <c r="E18" i="25"/>
  <c r="E17" i="25"/>
  <c r="E16" i="25"/>
  <c r="E15" i="25"/>
  <c r="E12" i="25"/>
  <c r="E11" i="25"/>
  <c r="E10" i="25"/>
  <c r="E9" i="25"/>
  <c r="E8" i="25"/>
  <c r="E48" i="77"/>
  <c r="E45" i="77"/>
  <c r="E44" i="77"/>
  <c r="E43" i="77"/>
  <c r="E42" i="77"/>
  <c r="E41" i="77"/>
  <c r="E40" i="77"/>
  <c r="E39" i="77"/>
  <c r="E46" i="77" s="1"/>
  <c r="E36" i="77"/>
  <c r="E35" i="77"/>
  <c r="E34" i="77"/>
  <c r="E33" i="77"/>
  <c r="E32" i="77"/>
  <c r="E31" i="77"/>
  <c r="E30" i="77"/>
  <c r="E27" i="77"/>
  <c r="E24" i="77"/>
  <c r="E23" i="77"/>
  <c r="E21" i="77"/>
  <c r="E17" i="77"/>
  <c r="E16" i="77"/>
  <c r="E15" i="77"/>
  <c r="E14" i="77"/>
  <c r="E13" i="77"/>
  <c r="E10" i="77"/>
  <c r="E36" i="75"/>
  <c r="E35" i="75"/>
  <c r="E34" i="75"/>
  <c r="E37" i="75" s="1"/>
  <c r="E31" i="75"/>
  <c r="E30" i="75"/>
  <c r="E29" i="75"/>
  <c r="E26" i="75"/>
  <c r="E24" i="75"/>
  <c r="E23" i="75"/>
  <c r="E22" i="75"/>
  <c r="E21" i="75"/>
  <c r="E27" i="75" s="1"/>
  <c r="E20" i="75"/>
  <c r="E17" i="75"/>
  <c r="E16" i="75"/>
  <c r="E15" i="75"/>
  <c r="E14" i="75"/>
  <c r="E12" i="75"/>
  <c r="E11" i="75"/>
  <c r="E10" i="75"/>
  <c r="E18" i="75" s="1"/>
  <c r="E40" i="75" s="1"/>
  <c r="E8" i="75"/>
  <c r="E45" i="55"/>
  <c r="E44" i="55"/>
  <c r="E43" i="55"/>
  <c r="E46" i="55" s="1"/>
  <c r="E42" i="55"/>
  <c r="E41" i="55"/>
  <c r="E40" i="55"/>
  <c r="E37" i="55"/>
  <c r="E36" i="55"/>
  <c r="E35" i="55"/>
  <c r="E34" i="55"/>
  <c r="E32" i="55"/>
  <c r="E38" i="55" s="1"/>
  <c r="E31" i="55"/>
  <c r="E30" i="55"/>
  <c r="E23" i="55"/>
  <c r="E20" i="55"/>
  <c r="E19" i="55"/>
  <c r="E18" i="55"/>
  <c r="E17" i="55"/>
  <c r="E16" i="55"/>
  <c r="E21" i="55" s="1"/>
  <c r="E15" i="55"/>
  <c r="E12" i="55"/>
  <c r="E11" i="55"/>
  <c r="E10" i="55"/>
  <c r="E13" i="55" s="1"/>
  <c r="E27" i="55" s="1"/>
  <c r="E9" i="55"/>
  <c r="E8" i="55"/>
  <c r="E18" i="20"/>
  <c r="E17" i="20"/>
  <c r="E19" i="20" s="1"/>
  <c r="E22" i="20" s="1"/>
  <c r="E14" i="20"/>
  <c r="E13" i="20"/>
  <c r="E10" i="20"/>
  <c r="E9" i="20"/>
  <c r="E8" i="20"/>
  <c r="E9" i="19"/>
  <c r="E10" i="19"/>
  <c r="E13" i="19" s="1"/>
  <c r="E8" i="30"/>
  <c r="E9" i="30" s="1"/>
  <c r="E36" i="15"/>
  <c r="E37" i="15"/>
  <c r="E39" i="15" s="1"/>
  <c r="E29" i="15"/>
  <c r="E22" i="15"/>
  <c r="E23" i="15"/>
  <c r="E25" i="15" s="1"/>
  <c r="E15" i="15"/>
  <c r="E8" i="15"/>
  <c r="E29" i="53"/>
  <c r="E30" i="53" s="1"/>
  <c r="E26" i="53"/>
  <c r="E25" i="53"/>
  <c r="E27" i="53"/>
  <c r="E22" i="53"/>
  <c r="E23" i="53" s="1"/>
  <c r="E32" i="53" s="1"/>
  <c r="E21" i="53"/>
  <c r="E15" i="53"/>
  <c r="E14" i="53"/>
  <c r="E13" i="53"/>
  <c r="E16" i="53" s="1"/>
  <c r="E12" i="53"/>
  <c r="E9" i="53"/>
  <c r="E8" i="53"/>
  <c r="E31" i="52"/>
  <c r="E32" i="52" s="1"/>
  <c r="E28" i="52"/>
  <c r="E27" i="52"/>
  <c r="E26" i="52"/>
  <c r="E23" i="52"/>
  <c r="E22" i="52"/>
  <c r="E16" i="52"/>
  <c r="E15" i="52"/>
  <c r="E14" i="52"/>
  <c r="E17" i="52" s="1"/>
  <c r="E13" i="52"/>
  <c r="E12" i="52"/>
  <c r="E11" i="52"/>
  <c r="E8" i="52"/>
  <c r="E9" i="52" s="1"/>
  <c r="E23" i="51"/>
  <c r="E24" i="51" s="1"/>
  <c r="E20" i="51"/>
  <c r="E21" i="51"/>
  <c r="E26" i="51" s="1"/>
  <c r="E14" i="51"/>
  <c r="E15" i="51" s="1"/>
  <c r="E17" i="51" s="1"/>
  <c r="E29" i="51" s="1"/>
  <c r="E13" i="51"/>
  <c r="E12" i="51"/>
  <c r="E9" i="51"/>
  <c r="E10" i="51" s="1"/>
  <c r="E8" i="51"/>
  <c r="E9" i="50"/>
  <c r="E8" i="50"/>
  <c r="E26" i="46"/>
  <c r="E27" i="46" s="1"/>
  <c r="E23" i="46"/>
  <c r="E22" i="46"/>
  <c r="E19" i="46"/>
  <c r="E20" i="46" s="1"/>
  <c r="E18" i="46"/>
  <c r="E12" i="46"/>
  <c r="E13" i="46" s="1"/>
  <c r="E15" i="46" s="1"/>
  <c r="E9" i="46"/>
  <c r="E10" i="46" s="1"/>
  <c r="E8" i="46"/>
  <c r="E25" i="13"/>
  <c r="E24" i="13"/>
  <c r="E26" i="13" s="1"/>
  <c r="E28" i="13" s="1"/>
  <c r="E21" i="13"/>
  <c r="E22" i="13"/>
  <c r="E15" i="13"/>
  <c r="E16" i="13" s="1"/>
  <c r="E12" i="13"/>
  <c r="E11" i="13"/>
  <c r="E13" i="13" s="1"/>
  <c r="E8" i="13"/>
  <c r="E9" i="13" s="1"/>
  <c r="E25" i="5"/>
  <c r="E26" i="5" s="1"/>
  <c r="E22" i="5"/>
  <c r="E19" i="5"/>
  <c r="E13" i="5"/>
  <c r="E12" i="5"/>
  <c r="E11" i="5"/>
  <c r="E10" i="5"/>
  <c r="E9" i="5"/>
  <c r="E14" i="5" s="1"/>
  <c r="E16" i="5" s="1"/>
  <c r="E8" i="5"/>
  <c r="E33" i="35"/>
  <c r="E34" i="35"/>
  <c r="E30" i="35"/>
  <c r="E27" i="35"/>
  <c r="E28" i="35"/>
  <c r="E24" i="35"/>
  <c r="E21" i="35"/>
  <c r="E22" i="35"/>
  <c r="E15" i="35"/>
  <c r="E14" i="35"/>
  <c r="E13" i="35"/>
  <c r="E12" i="35"/>
  <c r="E11" i="35"/>
  <c r="E16" i="35" s="1"/>
  <c r="E18" i="35" s="1"/>
  <c r="E8" i="35"/>
  <c r="E9" i="35"/>
  <c r="E47" i="44"/>
  <c r="E44" i="44"/>
  <c r="E43" i="44"/>
  <c r="E42" i="44"/>
  <c r="E41" i="44"/>
  <c r="E38" i="44"/>
  <c r="E35" i="44"/>
  <c r="E36" i="44"/>
  <c r="E32" i="44"/>
  <c r="E33" i="44" s="1"/>
  <c r="E20" i="44"/>
  <c r="E21" i="44"/>
  <c r="E17" i="44"/>
  <c r="E16" i="44"/>
  <c r="E15" i="44"/>
  <c r="E14" i="44"/>
  <c r="E11" i="44"/>
  <c r="E12" i="44" s="1"/>
  <c r="E8" i="44"/>
  <c r="E9" i="44" s="1"/>
  <c r="E18" i="24"/>
  <c r="E19" i="24" s="1"/>
  <c r="E15" i="24"/>
  <c r="E14" i="24"/>
  <c r="E16" i="24" s="1"/>
  <c r="E21" i="24" s="1"/>
  <c r="E8" i="24"/>
  <c r="E9" i="24"/>
  <c r="E11" i="24"/>
  <c r="E28" i="43"/>
  <c r="E29" i="43"/>
  <c r="E25" i="43"/>
  <c r="E24" i="43"/>
  <c r="E26" i="43" s="1"/>
  <c r="E21" i="43"/>
  <c r="E20" i="43"/>
  <c r="E22" i="43"/>
  <c r="E14" i="43"/>
  <c r="E13" i="43"/>
  <c r="E12" i="43"/>
  <c r="E15" i="43"/>
  <c r="E9" i="43"/>
  <c r="E8" i="43"/>
  <c r="E19" i="21"/>
  <c r="E20" i="21"/>
  <c r="E16" i="21"/>
  <c r="E10" i="21"/>
  <c r="E9" i="21"/>
  <c r="E8" i="21"/>
  <c r="E26" i="42"/>
  <c r="E23" i="42"/>
  <c r="E22" i="42"/>
  <c r="E24" i="42" s="1"/>
  <c r="E19" i="42"/>
  <c r="E18" i="42"/>
  <c r="E20" i="42"/>
  <c r="E12" i="42"/>
  <c r="E11" i="42"/>
  <c r="E10" i="42"/>
  <c r="E9" i="42"/>
  <c r="E8" i="42"/>
  <c r="E13" i="42" s="1"/>
  <c r="E15" i="42" s="1"/>
  <c r="E9" i="41"/>
  <c r="E8" i="41"/>
  <c r="E9" i="23"/>
  <c r="E10" i="23" s="1"/>
  <c r="E13" i="23" s="1"/>
  <c r="E8" i="23"/>
  <c r="E17" i="40"/>
  <c r="E18" i="40"/>
  <c r="E14" i="40"/>
  <c r="E8" i="40"/>
  <c r="E9" i="40"/>
  <c r="E11" i="40"/>
  <c r="E12" i="26"/>
  <c r="E13" i="26"/>
  <c r="E9" i="26"/>
  <c r="E8" i="26"/>
  <c r="E33" i="31"/>
  <c r="E34" i="31"/>
  <c r="E30" i="31"/>
  <c r="E29" i="31"/>
  <c r="E28" i="31"/>
  <c r="E27" i="31"/>
  <c r="E26" i="31"/>
  <c r="E23" i="31"/>
  <c r="E22" i="31"/>
  <c r="E21" i="31"/>
  <c r="E19" i="31"/>
  <c r="E24" i="31"/>
  <c r="E13" i="31"/>
  <c r="E11" i="31"/>
  <c r="E14" i="31" s="1"/>
  <c r="E25" i="39"/>
  <c r="E26" i="39" s="1"/>
  <c r="E22" i="39"/>
  <c r="E21" i="39"/>
  <c r="E20" i="39"/>
  <c r="E19" i="39"/>
  <c r="E16" i="39"/>
  <c r="E17" i="39"/>
  <c r="E10" i="39"/>
  <c r="E11" i="39" s="1"/>
  <c r="E13" i="39" s="1"/>
  <c r="E8" i="39"/>
  <c r="E26" i="33"/>
  <c r="E25" i="33"/>
  <c r="E24" i="33"/>
  <c r="E23" i="33"/>
  <c r="E27" i="33" s="1"/>
  <c r="E22" i="33"/>
  <c r="E19" i="33"/>
  <c r="E20" i="33" s="1"/>
  <c r="E16" i="33"/>
  <c r="E8" i="33"/>
  <c r="E28" i="38"/>
  <c r="E29" i="38" s="1"/>
  <c r="E25" i="38"/>
  <c r="E24" i="38"/>
  <c r="E23" i="38"/>
  <c r="E22" i="38"/>
  <c r="E26" i="38"/>
  <c r="E19" i="38"/>
  <c r="E18" i="38"/>
  <c r="E11" i="38"/>
  <c r="E8" i="38"/>
  <c r="E9" i="38" s="1"/>
  <c r="E33" i="57"/>
  <c r="E34" i="57" s="1"/>
  <c r="E27" i="57"/>
  <c r="E26" i="57"/>
  <c r="E25" i="57"/>
  <c r="E23" i="57"/>
  <c r="E22" i="57"/>
  <c r="E21" i="57"/>
  <c r="E20" i="57"/>
  <c r="E16" i="57"/>
  <c r="E15" i="57"/>
  <c r="E14" i="57"/>
  <c r="E13" i="57"/>
  <c r="E12" i="57"/>
  <c r="E11" i="57"/>
  <c r="E10" i="57"/>
  <c r="E9" i="57"/>
  <c r="E8" i="57"/>
  <c r="E27" i="37"/>
  <c r="E28" i="37" s="1"/>
  <c r="E24" i="37"/>
  <c r="E23" i="37"/>
  <c r="E21" i="37"/>
  <c r="E20" i="37"/>
  <c r="E18" i="37"/>
  <c r="E15" i="37"/>
  <c r="E14" i="37"/>
  <c r="E13" i="37"/>
  <c r="E12" i="37"/>
  <c r="E11" i="37"/>
  <c r="E9" i="37"/>
  <c r="E13" i="80"/>
  <c r="E11" i="80"/>
  <c r="E8" i="80"/>
  <c r="E9" i="80" s="1"/>
  <c r="E15" i="12"/>
  <c r="E14" i="12"/>
  <c r="E9" i="12"/>
  <c r="D16" i="35"/>
  <c r="C16" i="35"/>
  <c r="D20" i="46"/>
  <c r="C20" i="46"/>
  <c r="C29" i="46" s="1"/>
  <c r="C8" i="31"/>
  <c r="E8" i="31"/>
  <c r="E9" i="31"/>
  <c r="D9" i="31"/>
  <c r="E23" i="85"/>
  <c r="E26" i="85"/>
  <c r="C31" i="57"/>
  <c r="C18" i="63"/>
  <c r="D15" i="63"/>
  <c r="D20" i="63" s="1"/>
  <c r="C15" i="63"/>
  <c r="C20" i="63" s="1"/>
  <c r="O128" i="86"/>
  <c r="D34" i="69"/>
  <c r="C34" i="69"/>
  <c r="D29" i="69"/>
  <c r="C29" i="69"/>
  <c r="D22" i="69"/>
  <c r="D11" i="69"/>
  <c r="D38" i="70"/>
  <c r="C38" i="70"/>
  <c r="D31" i="70"/>
  <c r="C31" i="70"/>
  <c r="E31" i="70"/>
  <c r="D27" i="70"/>
  <c r="C27" i="70"/>
  <c r="D19" i="70"/>
  <c r="C19" i="70"/>
  <c r="D10" i="70"/>
  <c r="C10" i="70"/>
  <c r="D10" i="19"/>
  <c r="D13" i="19"/>
  <c r="C10" i="19"/>
  <c r="C13" i="19" s="1"/>
  <c r="D39" i="79"/>
  <c r="C39" i="79"/>
  <c r="D32" i="79"/>
  <c r="C32" i="79"/>
  <c r="O146" i="86"/>
  <c r="O145" i="86"/>
  <c r="O144" i="86"/>
  <c r="O143" i="86"/>
  <c r="O142" i="86"/>
  <c r="O141" i="86"/>
  <c r="O132" i="86"/>
  <c r="O131" i="86"/>
  <c r="O130" i="86"/>
  <c r="O129" i="86"/>
  <c r="O127" i="86"/>
  <c r="V84" i="86"/>
  <c r="E13" i="47"/>
  <c r="D20" i="74"/>
  <c r="C82" i="86"/>
  <c r="C20" i="74"/>
  <c r="B82" i="86"/>
  <c r="C69" i="79"/>
  <c r="C65" i="79"/>
  <c r="C61" i="79"/>
  <c r="C55" i="79"/>
  <c r="C50" i="79"/>
  <c r="C42" i="79"/>
  <c r="C21" i="79"/>
  <c r="C12" i="79"/>
  <c r="D34" i="85"/>
  <c r="C34" i="85"/>
  <c r="D31" i="85"/>
  <c r="C31" i="85"/>
  <c r="D27" i="85"/>
  <c r="D37" i="85" s="1"/>
  <c r="C27" i="85"/>
  <c r="D20" i="85"/>
  <c r="C20" i="85"/>
  <c r="C11" i="85"/>
  <c r="C29" i="7"/>
  <c r="C26" i="7"/>
  <c r="C20" i="7"/>
  <c r="C32" i="7"/>
  <c r="D11" i="90" s="1"/>
  <c r="C11" i="7"/>
  <c r="C13" i="8"/>
  <c r="C16" i="8"/>
  <c r="C10" i="8"/>
  <c r="C34" i="73"/>
  <c r="C31" i="73"/>
  <c r="C27" i="73"/>
  <c r="C20" i="73"/>
  <c r="C11" i="73"/>
  <c r="C14" i="80"/>
  <c r="C39" i="12"/>
  <c r="C32" i="1"/>
  <c r="C29" i="1"/>
  <c r="C23" i="1"/>
  <c r="C35" i="1" s="1"/>
  <c r="C18" i="1"/>
  <c r="C9" i="1"/>
  <c r="C42" i="10"/>
  <c r="C37" i="10"/>
  <c r="C27" i="10"/>
  <c r="C18" i="10"/>
  <c r="C10" i="10"/>
  <c r="C49" i="11"/>
  <c r="C42" i="11"/>
  <c r="C39" i="11"/>
  <c r="C29" i="11"/>
  <c r="C19" i="11"/>
  <c r="C12" i="11"/>
  <c r="C33" i="32"/>
  <c r="C30" i="32"/>
  <c r="C36" i="32"/>
  <c r="B68" i="86" s="1"/>
  <c r="C18" i="32"/>
  <c r="C11" i="32"/>
  <c r="C25" i="68"/>
  <c r="C20" i="68"/>
  <c r="C16" i="68"/>
  <c r="C28" i="68" s="1"/>
  <c r="D129" i="90" s="1"/>
  <c r="C9" i="68"/>
  <c r="C34" i="66"/>
  <c r="C30" i="66"/>
  <c r="C22" i="66"/>
  <c r="C37" i="66" s="1"/>
  <c r="D9" i="90" s="1"/>
  <c r="C13" i="66"/>
  <c r="C29" i="72"/>
  <c r="C23" i="72"/>
  <c r="C14" i="72"/>
  <c r="C32" i="72" s="1"/>
  <c r="C13" i="61"/>
  <c r="C16" i="61" s="1"/>
  <c r="D61" i="90" s="1"/>
  <c r="C10" i="61"/>
  <c r="C29" i="62"/>
  <c r="C26" i="62"/>
  <c r="C23" i="62"/>
  <c r="C19" i="62"/>
  <c r="C10" i="62"/>
  <c r="C31" i="62"/>
  <c r="C11" i="64"/>
  <c r="C14" i="64"/>
  <c r="B59" i="86" s="1"/>
  <c r="C24" i="65"/>
  <c r="C14" i="65"/>
  <c r="C32" i="36"/>
  <c r="C25" i="36"/>
  <c r="C18" i="36"/>
  <c r="C39" i="36" s="1"/>
  <c r="B57" i="86" s="1"/>
  <c r="C9" i="36"/>
  <c r="C31" i="60"/>
  <c r="C28" i="60"/>
  <c r="C24" i="60"/>
  <c r="C21" i="60"/>
  <c r="C11" i="60"/>
  <c r="C15" i="83"/>
  <c r="C10" i="83"/>
  <c r="C18" i="83" s="1"/>
  <c r="C26" i="29"/>
  <c r="C22" i="29"/>
  <c r="C18" i="29"/>
  <c r="C10" i="29"/>
  <c r="C20" i="34"/>
  <c r="C23" i="34" s="1"/>
  <c r="C17" i="34"/>
  <c r="C15" i="9"/>
  <c r="C18" i="9"/>
  <c r="C9" i="9"/>
  <c r="C17" i="58"/>
  <c r="C14" i="58"/>
  <c r="C10" i="58"/>
  <c r="C16" i="81"/>
  <c r="C13" i="81"/>
  <c r="C9" i="81"/>
  <c r="C19" i="81"/>
  <c r="B47" i="86" s="1"/>
  <c r="C18" i="49"/>
  <c r="C14" i="49"/>
  <c r="C10" i="49"/>
  <c r="C17" i="47"/>
  <c r="C13" i="47"/>
  <c r="C20" i="47" s="1"/>
  <c r="D58" i="90" s="1"/>
  <c r="C9" i="47"/>
  <c r="C13" i="84"/>
  <c r="C10" i="84"/>
  <c r="C16" i="84"/>
  <c r="D55" i="90" s="1"/>
  <c r="C12" i="27"/>
  <c r="C9" i="27"/>
  <c r="C15" i="27"/>
  <c r="C32" i="28"/>
  <c r="C28" i="28"/>
  <c r="C21" i="28"/>
  <c r="C35" i="28"/>
  <c r="B42" i="86" s="1"/>
  <c r="C12" i="28"/>
  <c r="C36" i="25"/>
  <c r="C33" i="25"/>
  <c r="C30" i="25"/>
  <c r="C24" i="25"/>
  <c r="C21" i="25"/>
  <c r="C13" i="25"/>
  <c r="C39" i="25" s="1"/>
  <c r="B41" i="86" s="1"/>
  <c r="C46" i="77"/>
  <c r="C37" i="77"/>
  <c r="C28" i="77"/>
  <c r="C18" i="77"/>
  <c r="C37" i="75"/>
  <c r="C32" i="75"/>
  <c r="C27" i="75"/>
  <c r="C18" i="75"/>
  <c r="C46" i="55"/>
  <c r="C38" i="55"/>
  <c r="C57" i="55" s="1"/>
  <c r="D32" i="90" s="1"/>
  <c r="C21" i="55"/>
  <c r="C13" i="55"/>
  <c r="C27" i="55" s="1"/>
  <c r="D31" i="90" s="1"/>
  <c r="D19" i="20"/>
  <c r="C19" i="20"/>
  <c r="C15" i="20"/>
  <c r="C22" i="20" s="1"/>
  <c r="D64" i="90" s="1"/>
  <c r="C11" i="20"/>
  <c r="C9" i="30"/>
  <c r="C12" i="30"/>
  <c r="B35" i="86"/>
  <c r="D35" i="86" s="1"/>
  <c r="E35" i="86" s="1"/>
  <c r="C37" i="15"/>
  <c r="C39" i="15" s="1"/>
  <c r="D37" i="90" s="1"/>
  <c r="C30" i="15"/>
  <c r="C32" i="15"/>
  <c r="D59" i="90" s="1"/>
  <c r="F59" i="90" s="1"/>
  <c r="C23" i="15"/>
  <c r="C25" i="15" s="1"/>
  <c r="C16" i="15"/>
  <c r="C18" i="15"/>
  <c r="D99" i="90" s="1"/>
  <c r="C9" i="15"/>
  <c r="C11" i="15" s="1"/>
  <c r="C30" i="53"/>
  <c r="C32" i="53" s="1"/>
  <c r="D103" i="90" s="1"/>
  <c r="F103" i="90" s="1"/>
  <c r="C27" i="53"/>
  <c r="C23" i="53"/>
  <c r="C16" i="53"/>
  <c r="C18" i="53"/>
  <c r="D102" i="90" s="1"/>
  <c r="F102" i="90" s="1"/>
  <c r="C10" i="53"/>
  <c r="C32" i="52"/>
  <c r="C29" i="52"/>
  <c r="C24" i="52"/>
  <c r="C34" i="52" s="1"/>
  <c r="D112" i="90" s="1"/>
  <c r="C17" i="52"/>
  <c r="C9" i="52"/>
  <c r="C19" i="52" s="1"/>
  <c r="C24" i="51"/>
  <c r="C21" i="51"/>
  <c r="C15" i="51"/>
  <c r="C10" i="51"/>
  <c r="C17" i="51" s="1"/>
  <c r="D52" i="90" s="1"/>
  <c r="C10" i="50"/>
  <c r="C13" i="50"/>
  <c r="C27" i="46"/>
  <c r="C24" i="46"/>
  <c r="C13" i="46"/>
  <c r="C10" i="46"/>
  <c r="C15" i="46" s="1"/>
  <c r="C26" i="13"/>
  <c r="C28" i="13"/>
  <c r="D116" i="90" s="1"/>
  <c r="C22" i="13"/>
  <c r="C16" i="13"/>
  <c r="C13" i="13"/>
  <c r="C18" i="13"/>
  <c r="C9" i="13"/>
  <c r="C26" i="5"/>
  <c r="C23" i="5"/>
  <c r="C28" i="5" s="1"/>
  <c r="C20" i="5"/>
  <c r="C14" i="5"/>
  <c r="C16" i="5"/>
  <c r="D104" i="90"/>
  <c r="C34" i="35"/>
  <c r="C31" i="35"/>
  <c r="C28" i="35"/>
  <c r="C25" i="35"/>
  <c r="C22" i="35"/>
  <c r="C9" i="35"/>
  <c r="C18" i="35"/>
  <c r="D100" i="90"/>
  <c r="C48" i="44"/>
  <c r="C39" i="44"/>
  <c r="C36" i="44"/>
  <c r="C33" i="44"/>
  <c r="C21" i="44"/>
  <c r="C18" i="44"/>
  <c r="C12" i="44"/>
  <c r="C9" i="44"/>
  <c r="C23" i="44" s="1"/>
  <c r="D54" i="90" s="1"/>
  <c r="C19" i="24"/>
  <c r="C16" i="24"/>
  <c r="C21" i="24" s="1"/>
  <c r="D94" i="90" s="1"/>
  <c r="C9" i="24"/>
  <c r="C11" i="24" s="1"/>
  <c r="C29" i="43"/>
  <c r="C26" i="43"/>
  <c r="C22" i="43"/>
  <c r="C15" i="43"/>
  <c r="C10" i="43"/>
  <c r="C17" i="43" s="1"/>
  <c r="D49" i="90" s="1"/>
  <c r="C20" i="21"/>
  <c r="C17" i="21"/>
  <c r="C22" i="21" s="1"/>
  <c r="C11" i="21"/>
  <c r="C13" i="21"/>
  <c r="C27" i="42"/>
  <c r="C24" i="42"/>
  <c r="C20" i="42"/>
  <c r="C29" i="42"/>
  <c r="D73" i="90" s="1"/>
  <c r="C13" i="42"/>
  <c r="C15" i="42" s="1"/>
  <c r="C10" i="41"/>
  <c r="C13" i="41" s="1"/>
  <c r="B19" i="86"/>
  <c r="C10" i="23"/>
  <c r="C13" i="23" s="1"/>
  <c r="C18" i="40"/>
  <c r="C15" i="40"/>
  <c r="C20" i="40"/>
  <c r="D121" i="90" s="1"/>
  <c r="F121" i="90" s="1"/>
  <c r="C9" i="40"/>
  <c r="C11" i="40" s="1"/>
  <c r="C13" i="26"/>
  <c r="C10" i="26"/>
  <c r="C34" i="31"/>
  <c r="C31" i="31"/>
  <c r="C36" i="31" s="1"/>
  <c r="D43" i="90" s="1"/>
  <c r="C24" i="31"/>
  <c r="C14" i="31"/>
  <c r="D17" i="39"/>
  <c r="C17" i="39"/>
  <c r="C26" i="39"/>
  <c r="C23" i="39"/>
  <c r="D20" i="33"/>
  <c r="D32" i="33" s="1"/>
  <c r="E39" i="90" s="1"/>
  <c r="C20" i="33"/>
  <c r="C27" i="33"/>
  <c r="C13" i="33"/>
  <c r="C29" i="38"/>
  <c r="C26" i="38"/>
  <c r="C20" i="38"/>
  <c r="C18" i="57"/>
  <c r="C28" i="57"/>
  <c r="C34" i="57"/>
  <c r="C28" i="37"/>
  <c r="D46" i="77"/>
  <c r="D37" i="77"/>
  <c r="D11" i="60"/>
  <c r="D55" i="79"/>
  <c r="D37" i="15"/>
  <c r="D39" i="15" s="1"/>
  <c r="E37" i="90" s="1"/>
  <c r="D30" i="15"/>
  <c r="D32" i="15"/>
  <c r="E59" i="90" s="1"/>
  <c r="E30" i="15"/>
  <c r="E32" i="15"/>
  <c r="D23" i="15"/>
  <c r="D25" i="15"/>
  <c r="D16" i="15"/>
  <c r="D18" i="15"/>
  <c r="E16" i="15"/>
  <c r="E18" i="15"/>
  <c r="D10" i="84"/>
  <c r="D45" i="44"/>
  <c r="D48" i="44"/>
  <c r="D36" i="44"/>
  <c r="D33" i="44"/>
  <c r="E39" i="44"/>
  <c r="D39" i="44"/>
  <c r="E48" i="44"/>
  <c r="D12" i="79"/>
  <c r="D21" i="79"/>
  <c r="D42" i="79"/>
  <c r="D46" i="79"/>
  <c r="D50" i="79"/>
  <c r="D61" i="79"/>
  <c r="D65" i="79"/>
  <c r="D69" i="79"/>
  <c r="D11" i="7"/>
  <c r="D20" i="7"/>
  <c r="D26" i="7"/>
  <c r="D29" i="7"/>
  <c r="D10" i="8"/>
  <c r="D13" i="8"/>
  <c r="E13" i="8"/>
  <c r="D11" i="73"/>
  <c r="D20" i="73"/>
  <c r="D27" i="73"/>
  <c r="D31" i="73"/>
  <c r="D34" i="73"/>
  <c r="D9" i="80"/>
  <c r="D14" i="80"/>
  <c r="D11" i="12"/>
  <c r="D21" i="12"/>
  <c r="D31" i="12"/>
  <c r="D39" i="12"/>
  <c r="D9" i="1"/>
  <c r="E9" i="1"/>
  <c r="D18" i="1"/>
  <c r="D23" i="1"/>
  <c r="D29" i="1"/>
  <c r="E29" i="1"/>
  <c r="D32" i="1"/>
  <c r="D10" i="10"/>
  <c r="D18" i="10"/>
  <c r="D27" i="10"/>
  <c r="D37" i="10"/>
  <c r="D42" i="10"/>
  <c r="D29" i="11"/>
  <c r="D42" i="11"/>
  <c r="D49" i="11"/>
  <c r="D18" i="32"/>
  <c r="D23" i="32"/>
  <c r="D30" i="32"/>
  <c r="D33" i="32"/>
  <c r="D9" i="68"/>
  <c r="E9" i="68"/>
  <c r="D16" i="68"/>
  <c r="D28" i="68"/>
  <c r="D20" i="68"/>
  <c r="D25" i="68"/>
  <c r="D13" i="66"/>
  <c r="D30" i="66"/>
  <c r="D34" i="66"/>
  <c r="D14" i="72"/>
  <c r="D23" i="72"/>
  <c r="D29" i="72"/>
  <c r="E16" i="61"/>
  <c r="D10" i="61"/>
  <c r="D16" i="61" s="1"/>
  <c r="C62" i="86" s="1"/>
  <c r="D13" i="61"/>
  <c r="D10" i="62"/>
  <c r="D19" i="62"/>
  <c r="D23" i="62"/>
  <c r="D26" i="62"/>
  <c r="D29" i="62"/>
  <c r="E51" i="90"/>
  <c r="D11" i="64"/>
  <c r="D14" i="64" s="1"/>
  <c r="D9" i="36"/>
  <c r="D25" i="36"/>
  <c r="D32" i="36"/>
  <c r="D21" i="60"/>
  <c r="D24" i="60"/>
  <c r="E24" i="60"/>
  <c r="D28" i="60"/>
  <c r="D31" i="60"/>
  <c r="D34" i="60" s="1"/>
  <c r="C56" i="86" s="1"/>
  <c r="D10" i="83"/>
  <c r="D15" i="83"/>
  <c r="D10" i="29"/>
  <c r="E22" i="29"/>
  <c r="D22" i="29"/>
  <c r="D26" i="29"/>
  <c r="D17" i="34"/>
  <c r="D20" i="34"/>
  <c r="D23" i="34"/>
  <c r="D9" i="9"/>
  <c r="D15" i="9"/>
  <c r="D10" i="58"/>
  <c r="D14" i="58"/>
  <c r="D17" i="58"/>
  <c r="D9" i="81"/>
  <c r="D19" i="81"/>
  <c r="E9" i="81"/>
  <c r="D13" i="81"/>
  <c r="D16" i="81"/>
  <c r="E16" i="81"/>
  <c r="E10" i="49"/>
  <c r="D10" i="49"/>
  <c r="D14" i="49"/>
  <c r="D21" i="49" s="1"/>
  <c r="E35" i="90" s="1"/>
  <c r="D18" i="49"/>
  <c r="D9" i="47"/>
  <c r="D13" i="47"/>
  <c r="D17" i="47"/>
  <c r="E13" i="84"/>
  <c r="D13" i="84"/>
  <c r="D9" i="27"/>
  <c r="D12" i="27"/>
  <c r="E12" i="27"/>
  <c r="D12" i="28"/>
  <c r="D35" i="28" s="1"/>
  <c r="C42" i="86" s="1"/>
  <c r="D21" i="28"/>
  <c r="D28" i="28"/>
  <c r="D32" i="28"/>
  <c r="D13" i="25"/>
  <c r="D24" i="25"/>
  <c r="D30" i="25"/>
  <c r="D33" i="25"/>
  <c r="D36" i="25"/>
  <c r="D18" i="57"/>
  <c r="D28" i="57"/>
  <c r="D34" i="57"/>
  <c r="D27" i="75"/>
  <c r="D32" i="75"/>
  <c r="D37" i="75"/>
  <c r="D13" i="55"/>
  <c r="D21" i="55"/>
  <c r="D38" i="55"/>
  <c r="D46" i="55"/>
  <c r="D11" i="20"/>
  <c r="D15" i="20"/>
  <c r="E12" i="30"/>
  <c r="D9" i="30"/>
  <c r="D12" i="30" s="1"/>
  <c r="D9" i="15"/>
  <c r="D11" i="15" s="1"/>
  <c r="E9" i="15"/>
  <c r="E11" i="15" s="1"/>
  <c r="D10" i="53"/>
  <c r="E10" i="53"/>
  <c r="D16" i="53"/>
  <c r="D23" i="53"/>
  <c r="D27" i="53"/>
  <c r="D30" i="53"/>
  <c r="D9" i="52"/>
  <c r="D17" i="52"/>
  <c r="D24" i="52"/>
  <c r="D29" i="52"/>
  <c r="D32" i="52"/>
  <c r="D10" i="51"/>
  <c r="D15" i="51"/>
  <c r="D21" i="51"/>
  <c r="D26" i="51" s="1"/>
  <c r="E53" i="90" s="1"/>
  <c r="D24" i="51"/>
  <c r="D10" i="50"/>
  <c r="D13" i="50" s="1"/>
  <c r="D10" i="46"/>
  <c r="D13" i="46"/>
  <c r="D24" i="46"/>
  <c r="D27" i="46"/>
  <c r="D9" i="13"/>
  <c r="D13" i="13"/>
  <c r="D16" i="13"/>
  <c r="D22" i="13"/>
  <c r="D28" i="13"/>
  <c r="E116" i="90" s="1"/>
  <c r="F116" i="90" s="1"/>
  <c r="D26" i="13"/>
  <c r="D14" i="5"/>
  <c r="D16" i="5"/>
  <c r="E104" i="90" s="1"/>
  <c r="F104" i="90" s="1"/>
  <c r="E20" i="5"/>
  <c r="D20" i="5"/>
  <c r="E23" i="5"/>
  <c r="D23" i="5"/>
  <c r="D26" i="5"/>
  <c r="D9" i="35"/>
  <c r="D18" i="35" s="1"/>
  <c r="E100" i="90" s="1"/>
  <c r="D22" i="35"/>
  <c r="D36" i="35" s="1"/>
  <c r="D25" i="35"/>
  <c r="E25" i="35"/>
  <c r="E36" i="35" s="1"/>
  <c r="D28" i="35"/>
  <c r="D31" i="35"/>
  <c r="E31" i="35"/>
  <c r="D34" i="35"/>
  <c r="D9" i="44"/>
  <c r="D12" i="44"/>
  <c r="D18" i="44"/>
  <c r="D21" i="44"/>
  <c r="D23" i="44" s="1"/>
  <c r="D9" i="24"/>
  <c r="D11" i="24"/>
  <c r="D16" i="24"/>
  <c r="D19" i="24"/>
  <c r="D10" i="43"/>
  <c r="E10" i="43"/>
  <c r="E17" i="43" s="1"/>
  <c r="D15" i="43"/>
  <c r="D17" i="43" s="1"/>
  <c r="D22" i="43"/>
  <c r="D26" i="43"/>
  <c r="D29" i="43"/>
  <c r="D11" i="21"/>
  <c r="D13" i="21" s="1"/>
  <c r="D17" i="21"/>
  <c r="D20" i="21"/>
  <c r="D13" i="42"/>
  <c r="D15" i="42" s="1"/>
  <c r="D20" i="42"/>
  <c r="D29" i="42" s="1"/>
  <c r="E73" i="90"/>
  <c r="F73" i="90"/>
  <c r="D24" i="42"/>
  <c r="D27" i="42"/>
  <c r="E27" i="42"/>
  <c r="E10" i="41"/>
  <c r="E13" i="41" s="1"/>
  <c r="D10" i="41"/>
  <c r="D13" i="41"/>
  <c r="C19" i="86"/>
  <c r="D19" i="86" s="1"/>
  <c r="E19" i="86" s="1"/>
  <c r="E71" i="90"/>
  <c r="D10" i="23"/>
  <c r="D13" i="23" s="1"/>
  <c r="D9" i="40"/>
  <c r="D11" i="40"/>
  <c r="E120" i="90" s="1"/>
  <c r="D15" i="40"/>
  <c r="D20" i="40"/>
  <c r="E121" i="90" s="1"/>
  <c r="E15" i="40"/>
  <c r="D18" i="40"/>
  <c r="D10" i="26"/>
  <c r="D16" i="26" s="1"/>
  <c r="D13" i="26"/>
  <c r="D14" i="31"/>
  <c r="D16" i="31"/>
  <c r="D24" i="31"/>
  <c r="D31" i="31"/>
  <c r="D34" i="31"/>
  <c r="D11" i="39"/>
  <c r="D13" i="39" s="1"/>
  <c r="D23" i="39"/>
  <c r="D28" i="39" s="1"/>
  <c r="E41" i="90" s="1"/>
  <c r="D26" i="39"/>
  <c r="D11" i="33"/>
  <c r="D13" i="33"/>
  <c r="D27" i="33"/>
  <c r="D30" i="33"/>
  <c r="D9" i="38"/>
  <c r="D13" i="38"/>
  <c r="D15" i="38"/>
  <c r="D20" i="38"/>
  <c r="D31" i="38" s="1"/>
  <c r="E34" i="90" s="1"/>
  <c r="F34" i="90" s="1"/>
  <c r="E20" i="38"/>
  <c r="D26" i="38"/>
  <c r="D29" i="38"/>
  <c r="D28" i="37"/>
  <c r="E25" i="68"/>
  <c r="E15" i="20"/>
  <c r="C31" i="38"/>
  <c r="D34" i="90" s="1"/>
  <c r="C20" i="58"/>
  <c r="D16" i="8"/>
  <c r="E12" i="90"/>
  <c r="F12" i="90" s="1"/>
  <c r="D50" i="44"/>
  <c r="C25" i="86" s="1"/>
  <c r="D21" i="25"/>
  <c r="D39" i="25"/>
  <c r="U84" i="86"/>
  <c r="D25" i="37"/>
  <c r="E29" i="11"/>
  <c r="D28" i="5"/>
  <c r="D31" i="57"/>
  <c r="C9" i="80"/>
  <c r="C17" i="80"/>
  <c r="D18" i="29"/>
  <c r="D29" i="29"/>
  <c r="E17" i="34"/>
  <c r="D65" i="90"/>
  <c r="D16" i="84"/>
  <c r="E15" i="27"/>
  <c r="E10" i="50"/>
  <c r="E13" i="50" s="1"/>
  <c r="D72" i="90"/>
  <c r="D71" i="90"/>
  <c r="C16" i="26"/>
  <c r="D40" i="90"/>
  <c r="E38" i="73"/>
  <c r="D109" i="90"/>
  <c r="D96" i="90"/>
  <c r="D18" i="83"/>
  <c r="C29" i="29"/>
  <c r="D30" i="90"/>
  <c r="B45" i="86"/>
  <c r="D49" i="15"/>
  <c r="E75" i="90" s="1"/>
  <c r="D120" i="90"/>
  <c r="P150" i="86"/>
  <c r="P152" i="86"/>
  <c r="P155" i="86"/>
  <c r="P154" i="86"/>
  <c r="P151" i="86"/>
  <c r="P153" i="86"/>
  <c r="E72" i="90"/>
  <c r="E79" i="90"/>
  <c r="D21" i="24"/>
  <c r="D42" i="86"/>
  <c r="E42" i="86" s="1"/>
  <c r="C53" i="86"/>
  <c r="E114" i="90"/>
  <c r="C9" i="31"/>
  <c r="C16" i="31" s="1"/>
  <c r="E22" i="37"/>
  <c r="E93" i="90"/>
  <c r="D95" i="90"/>
  <c r="F95" i="90" s="1"/>
  <c r="D38" i="90"/>
  <c r="C60" i="86"/>
  <c r="F88" i="90"/>
  <c r="D33" i="90"/>
  <c r="E31" i="38"/>
  <c r="F120" i="90"/>
  <c r="D8" i="90"/>
  <c r="C41" i="70"/>
  <c r="B64" i="86" s="1"/>
  <c r="E8" i="37"/>
  <c r="E16" i="37" s="1"/>
  <c r="E31" i="37" s="1"/>
  <c r="C16" i="37"/>
  <c r="E29" i="33"/>
  <c r="E30" i="33" s="1"/>
  <c r="C30" i="33"/>
  <c r="E45" i="79"/>
  <c r="E46" i="79"/>
  <c r="C46" i="79"/>
  <c r="E8" i="90"/>
  <c r="F8" i="90" s="1"/>
  <c r="B36" i="86"/>
  <c r="B51" i="86"/>
  <c r="C78" i="86"/>
  <c r="C32" i="42"/>
  <c r="B20" i="86" s="1"/>
  <c r="D20" i="86" s="1"/>
  <c r="E20" i="86" s="1"/>
  <c r="C46" i="86"/>
  <c r="E99" i="90"/>
  <c r="E94" i="90"/>
  <c r="D24" i="24"/>
  <c r="C23" i="86" s="1"/>
  <c r="E20" i="40"/>
  <c r="E23" i="40"/>
  <c r="C59" i="86"/>
  <c r="D59" i="86"/>
  <c r="E59" i="86" s="1"/>
  <c r="E96" i="90"/>
  <c r="F96" i="90" s="1"/>
  <c r="D111" i="90"/>
  <c r="D15" i="46"/>
  <c r="E69" i="90" s="1"/>
  <c r="C21" i="49"/>
  <c r="B46" i="86"/>
  <c r="B50" i="86"/>
  <c r="E26" i="65"/>
  <c r="E27" i="65" s="1"/>
  <c r="E29" i="65" s="1"/>
  <c r="E8" i="12"/>
  <c r="E11" i="12" s="1"/>
  <c r="C11" i="12"/>
  <c r="C31" i="12"/>
  <c r="E25" i="12"/>
  <c r="E31" i="12" s="1"/>
  <c r="C28" i="39"/>
  <c r="C31" i="39" s="1"/>
  <c r="B14" i="86" s="1"/>
  <c r="C61" i="15"/>
  <c r="C63" i="15" s="1"/>
  <c r="D108" i="90" s="1"/>
  <c r="F108" i="90" s="1"/>
  <c r="E60" i="15"/>
  <c r="E61" i="15"/>
  <c r="E63" i="15" s="1"/>
  <c r="E72" i="15" s="1"/>
  <c r="D68" i="90"/>
  <c r="F92" i="90"/>
  <c r="E12" i="95"/>
  <c r="E18" i="95"/>
  <c r="E29" i="95" s="1"/>
  <c r="C37" i="57"/>
  <c r="D98" i="90"/>
  <c r="E28" i="57"/>
  <c r="C31" i="37"/>
  <c r="B9" i="86" s="1"/>
  <c r="E15" i="11"/>
  <c r="D19" i="11"/>
  <c r="C26" i="94"/>
  <c r="C20" i="94" s="1"/>
  <c r="P130" i="86"/>
  <c r="F71" i="90"/>
  <c r="E118" i="90"/>
  <c r="E23" i="39"/>
  <c r="E28" i="39" s="1"/>
  <c r="E28" i="5"/>
  <c r="E31" i="5" s="1"/>
  <c r="C50" i="44"/>
  <c r="B25" i="86" s="1"/>
  <c r="D25" i="86" s="1"/>
  <c r="D12" i="90"/>
  <c r="B78" i="86"/>
  <c r="D78" i="86"/>
  <c r="E78" i="86" s="1"/>
  <c r="D74" i="90"/>
  <c r="B49" i="86"/>
  <c r="B55" i="86"/>
  <c r="D55" i="86" s="1"/>
  <c r="E55" i="86" s="1"/>
  <c r="D60" i="90"/>
  <c r="D41" i="90"/>
  <c r="F41" i="90"/>
  <c r="B24" i="86"/>
  <c r="E31" i="31"/>
  <c r="E36" i="31" s="1"/>
  <c r="E24" i="24"/>
  <c r="E18" i="44"/>
  <c r="E23" i="44"/>
  <c r="D115" i="90"/>
  <c r="C31" i="13"/>
  <c r="B28" i="86" s="1"/>
  <c r="B43" i="86"/>
  <c r="D113" i="90"/>
  <c r="D70" i="90"/>
  <c r="F23" i="90"/>
  <c r="F27" i="90" s="1"/>
  <c r="D19" i="91" s="1"/>
  <c r="E19" i="69"/>
  <c r="C22" i="69"/>
  <c r="D51" i="90"/>
  <c r="F51" i="90" s="1"/>
  <c r="B60" i="86"/>
  <c r="D60" i="86" s="1"/>
  <c r="E60" i="86" s="1"/>
  <c r="D35" i="90"/>
  <c r="F35" i="90"/>
  <c r="B16" i="86"/>
  <c r="D45" i="90"/>
  <c r="E55" i="90"/>
  <c r="F55" i="90" s="1"/>
  <c r="C44" i="86"/>
  <c r="D44" i="86" s="1"/>
  <c r="E44" i="86" s="1"/>
  <c r="B66" i="86"/>
  <c r="D32" i="42"/>
  <c r="C20" i="86" s="1"/>
  <c r="C37" i="52"/>
  <c r="B32" i="86" s="1"/>
  <c r="D53" i="86"/>
  <c r="E53" i="86" s="1"/>
  <c r="D11" i="32"/>
  <c r="D36" i="32" s="1"/>
  <c r="C68" i="86" s="1"/>
  <c r="E9" i="32"/>
  <c r="B44" i="86"/>
  <c r="C35" i="86"/>
  <c r="E109" i="90"/>
  <c r="F109" i="90"/>
  <c r="D118" i="90"/>
  <c r="F118" i="90" s="1"/>
  <c r="E39" i="35"/>
  <c r="C36" i="12"/>
  <c r="E33" i="12"/>
  <c r="E36" i="12" s="1"/>
  <c r="E10" i="11"/>
  <c r="E12" i="11" s="1"/>
  <c r="D12" i="11"/>
  <c r="F99" i="90"/>
  <c r="E20" i="77"/>
  <c r="E28" i="77"/>
  <c r="D114" i="90"/>
  <c r="F114" i="90"/>
  <c r="B48" i="86"/>
  <c r="D67" i="90"/>
  <c r="C26" i="51"/>
  <c r="E29" i="46"/>
  <c r="E32" i="46" s="1"/>
  <c r="C34" i="38"/>
  <c r="B12" i="86" s="1"/>
  <c r="E66" i="90"/>
  <c r="C11" i="86"/>
  <c r="D18" i="53"/>
  <c r="E24" i="46"/>
  <c r="D105" i="90"/>
  <c r="C31" i="5"/>
  <c r="B27" i="86" s="1"/>
  <c r="E18" i="57"/>
  <c r="E25" i="55"/>
  <c r="E28" i="92"/>
  <c r="D18" i="36"/>
  <c r="D39" i="36"/>
  <c r="E11" i="36"/>
  <c r="D37" i="57"/>
  <c r="D32" i="53"/>
  <c r="E103" i="90"/>
  <c r="D20" i="58"/>
  <c r="C49" i="15"/>
  <c r="D75" i="90"/>
  <c r="F75" i="90" s="1"/>
  <c r="E32" i="92"/>
  <c r="E9" i="65"/>
  <c r="D14" i="65"/>
  <c r="D19" i="52"/>
  <c r="D22" i="20"/>
  <c r="E13" i="38"/>
  <c r="E15" i="38" s="1"/>
  <c r="E34" i="38" s="1"/>
  <c r="E11" i="64"/>
  <c r="E14" i="64"/>
  <c r="E15" i="66"/>
  <c r="E22" i="66"/>
  <c r="D22" i="66"/>
  <c r="D37" i="66"/>
  <c r="C36" i="35"/>
  <c r="E14" i="80"/>
  <c r="E17" i="80" s="1"/>
  <c r="E10" i="37"/>
  <c r="E8" i="69"/>
  <c r="E11" i="69" s="1"/>
  <c r="C11" i="69"/>
  <c r="C37" i="69" s="1"/>
  <c r="D10" i="90" s="1"/>
  <c r="D13" i="90" s="1"/>
  <c r="D24" i="65"/>
  <c r="E10" i="26"/>
  <c r="E16" i="26"/>
  <c r="E19" i="52"/>
  <c r="E29" i="52"/>
  <c r="E18" i="53"/>
  <c r="E35" i="53" s="1"/>
  <c r="E11" i="20"/>
  <c r="E32" i="36"/>
  <c r="E29" i="69"/>
  <c r="F22" i="90"/>
  <c r="E9" i="33"/>
  <c r="E11" i="33" s="1"/>
  <c r="E8" i="77"/>
  <c r="E18" i="77" s="1"/>
  <c r="D18" i="77"/>
  <c r="E133" i="90"/>
  <c r="F133" i="90" s="1"/>
  <c r="D15" i="91" s="1"/>
  <c r="D39" i="11"/>
  <c r="D52" i="11"/>
  <c r="B10" i="86"/>
  <c r="D97" i="90"/>
  <c r="C37" i="86"/>
  <c r="E64" i="90"/>
  <c r="E102" i="90"/>
  <c r="D35" i="53"/>
  <c r="C33" i="86" s="1"/>
  <c r="F64" i="90"/>
  <c r="D79" i="90"/>
  <c r="F79" i="90" s="1"/>
  <c r="E25" i="86"/>
  <c r="D53" i="90"/>
  <c r="F53" i="90" s="1"/>
  <c r="C29" i="51"/>
  <c r="B31" i="86" s="1"/>
  <c r="C39" i="35"/>
  <c r="B26" i="86" s="1"/>
  <c r="D101" i="90"/>
  <c r="C16" i="94"/>
  <c r="P128" i="86" s="1"/>
  <c r="C24" i="94"/>
  <c r="P132" i="86" s="1"/>
  <c r="C22" i="94"/>
  <c r="P131" i="86" s="1"/>
  <c r="C14" i="94"/>
  <c r="P127" i="86" s="1"/>
  <c r="E61" i="79"/>
  <c r="E12" i="79"/>
  <c r="C72" i="79"/>
  <c r="B81" i="86" s="1"/>
  <c r="E11" i="85"/>
  <c r="D32" i="7"/>
  <c r="E20" i="7"/>
  <c r="E32" i="7" s="1"/>
  <c r="E11" i="7"/>
  <c r="D29" i="95"/>
  <c r="E140" i="90" s="1"/>
  <c r="C29" i="95"/>
  <c r="D41" i="73"/>
  <c r="C75" i="86" s="1"/>
  <c r="E27" i="73"/>
  <c r="E20" i="73"/>
  <c r="C41" i="73"/>
  <c r="E11" i="73"/>
  <c r="B74" i="86"/>
  <c r="D74" i="86" s="1"/>
  <c r="D48" i="90"/>
  <c r="D17" i="90"/>
  <c r="D42" i="12"/>
  <c r="C72" i="86"/>
  <c r="E18" i="1"/>
  <c r="B71" i="86"/>
  <c r="D126" i="90"/>
  <c r="D45" i="10"/>
  <c r="E127" i="90" s="1"/>
  <c r="E10" i="10"/>
  <c r="C45" i="10"/>
  <c r="E134" i="90"/>
  <c r="E19" i="11"/>
  <c r="E18" i="32"/>
  <c r="D18" i="90"/>
  <c r="B67" i="86"/>
  <c r="E13" i="66"/>
  <c r="E22" i="69"/>
  <c r="E27" i="90"/>
  <c r="E28" i="90" s="1"/>
  <c r="B63" i="86"/>
  <c r="D82" i="90"/>
  <c r="B61" i="86"/>
  <c r="D61" i="86" s="1"/>
  <c r="E61" i="86" s="1"/>
  <c r="D117" i="90"/>
  <c r="E14" i="65"/>
  <c r="C29" i="65"/>
  <c r="B58" i="86"/>
  <c r="E18" i="36"/>
  <c r="D63" i="90"/>
  <c r="E21" i="60"/>
  <c r="C34" i="60"/>
  <c r="D27" i="88"/>
  <c r="C54" i="86"/>
  <c r="E18" i="88"/>
  <c r="E56" i="90"/>
  <c r="F56" i="90" s="1"/>
  <c r="B54" i="86"/>
  <c r="D54" i="86" s="1"/>
  <c r="E54" i="86" s="1"/>
  <c r="E18" i="29"/>
  <c r="D46" i="86"/>
  <c r="E46" i="86" s="1"/>
  <c r="E21" i="28"/>
  <c r="E47" i="90"/>
  <c r="E12" i="28"/>
  <c r="D47" i="90"/>
  <c r="F47" i="90" s="1"/>
  <c r="D46" i="90"/>
  <c r="E37" i="77"/>
  <c r="C53" i="77"/>
  <c r="D107" i="90" s="1"/>
  <c r="E32" i="75"/>
  <c r="C60" i="55"/>
  <c r="B38" i="86" s="1"/>
  <c r="C40" i="75"/>
  <c r="D31" i="43"/>
  <c r="C31" i="43"/>
  <c r="D50" i="90" s="1"/>
  <c r="E31" i="43"/>
  <c r="D77" i="90"/>
  <c r="E77" i="90"/>
  <c r="D78" i="90"/>
  <c r="E17" i="21"/>
  <c r="E11" i="21"/>
  <c r="E13" i="21" s="1"/>
  <c r="D136" i="90"/>
  <c r="E139" i="90"/>
  <c r="E141" i="90" s="1"/>
  <c r="D83" i="90"/>
  <c r="B40" i="86"/>
  <c r="F77" i="90"/>
  <c r="C25" i="21"/>
  <c r="B21" i="86"/>
  <c r="B56" i="91"/>
  <c r="F24" i="90"/>
  <c r="E10" i="70"/>
  <c r="E41" i="70" s="1"/>
  <c r="D31" i="62"/>
  <c r="E117" i="90"/>
  <c r="F117" i="90" s="1"/>
  <c r="E27" i="88"/>
  <c r="F94" i="90"/>
  <c r="F57" i="90"/>
  <c r="D72" i="79"/>
  <c r="E136" i="90"/>
  <c r="E21" i="79"/>
  <c r="E20" i="85"/>
  <c r="C77" i="86"/>
  <c r="E16" i="96"/>
  <c r="E12" i="96"/>
  <c r="E22" i="96" s="1"/>
  <c r="E19" i="96"/>
  <c r="D17" i="80"/>
  <c r="C74" i="86"/>
  <c r="E74" i="86"/>
  <c r="D34" i="92"/>
  <c r="E17" i="90"/>
  <c r="F17" i="90" s="1"/>
  <c r="E16" i="90"/>
  <c r="E18" i="10"/>
  <c r="C70" i="86"/>
  <c r="E11" i="32"/>
  <c r="E16" i="68"/>
  <c r="E28" i="68"/>
  <c r="D37" i="69"/>
  <c r="E10" i="90"/>
  <c r="D41" i="70"/>
  <c r="C64" i="86"/>
  <c r="E19" i="70"/>
  <c r="E14" i="72"/>
  <c r="E32" i="72" s="1"/>
  <c r="C61" i="86"/>
  <c r="E19" i="62"/>
  <c r="E10" i="62"/>
  <c r="E24" i="65"/>
  <c r="D29" i="65"/>
  <c r="C58" i="86" s="1"/>
  <c r="E11" i="60"/>
  <c r="E34" i="60" s="1"/>
  <c r="E23" i="34"/>
  <c r="E68" i="90"/>
  <c r="F68" i="90"/>
  <c r="C50" i="86"/>
  <c r="D50" i="86"/>
  <c r="E50" i="86" s="1"/>
  <c r="E10" i="29"/>
  <c r="E29" i="29" s="1"/>
  <c r="E21" i="25"/>
  <c r="E39" i="25" s="1"/>
  <c r="E13" i="25"/>
  <c r="D40" i="75"/>
  <c r="E106" i="90" s="1"/>
  <c r="D27" i="55"/>
  <c r="E31" i="90" s="1"/>
  <c r="F31" i="90"/>
  <c r="C36" i="86"/>
  <c r="D36" i="86"/>
  <c r="E36" i="86" s="1"/>
  <c r="E95" i="90"/>
  <c r="D72" i="15"/>
  <c r="C34" i="86" s="1"/>
  <c r="E44" i="90"/>
  <c r="E37" i="57"/>
  <c r="E25" i="37"/>
  <c r="C65" i="86"/>
  <c r="C39" i="86"/>
  <c r="C69" i="86"/>
  <c r="E128" i="90"/>
  <c r="E30" i="25"/>
  <c r="E76" i="90"/>
  <c r="C30" i="86"/>
  <c r="E49" i="90"/>
  <c r="F49" i="90" s="1"/>
  <c r="E17" i="47"/>
  <c r="E23" i="94"/>
  <c r="D23" i="94" s="1"/>
  <c r="D20" i="47"/>
  <c r="E58" i="90" s="1"/>
  <c r="F58" i="90" s="1"/>
  <c r="D35" i="33"/>
  <c r="C13" i="86" s="1"/>
  <c r="E38" i="90"/>
  <c r="F38" i="90" s="1"/>
  <c r="E20" i="47"/>
  <c r="C18" i="94"/>
  <c r="P129" i="86" s="1"/>
  <c r="E16" i="31"/>
  <c r="E42" i="90"/>
  <c r="E40" i="90"/>
  <c r="F40" i="90" s="1"/>
  <c r="D34" i="38"/>
  <c r="C12" i="86" s="1"/>
  <c r="E33" i="90"/>
  <c r="F33" i="90" s="1"/>
  <c r="D16" i="37"/>
  <c r="C81" i="86"/>
  <c r="E41" i="73"/>
  <c r="E48" i="90"/>
  <c r="F48" i="90"/>
  <c r="E31" i="62"/>
  <c r="D28" i="77"/>
  <c r="E57" i="55"/>
  <c r="D57" i="55"/>
  <c r="E32" i="90" s="1"/>
  <c r="F32" i="90" s="1"/>
  <c r="E60" i="55"/>
  <c r="D31" i="37"/>
  <c r="E97" i="90" s="1"/>
  <c r="F97" i="90" s="1"/>
  <c r="E72" i="79"/>
  <c r="F136" i="90"/>
  <c r="D17" i="91"/>
  <c r="E137" i="90"/>
  <c r="F140" i="90"/>
  <c r="E20" i="92"/>
  <c r="C73" i="86"/>
  <c r="D73" i="86" s="1"/>
  <c r="E73" i="86" s="1"/>
  <c r="E11" i="92"/>
  <c r="E34" i="92" s="1"/>
  <c r="D35" i="1"/>
  <c r="C71" i="86"/>
  <c r="D71" i="86" s="1"/>
  <c r="E71" i="86" s="1"/>
  <c r="D68" i="86"/>
  <c r="E68" i="86"/>
  <c r="E18" i="90"/>
  <c r="E129" i="90"/>
  <c r="C67" i="86"/>
  <c r="D67" i="86"/>
  <c r="E67" i="86" s="1"/>
  <c r="E9" i="90"/>
  <c r="F9" i="90"/>
  <c r="C66" i="86"/>
  <c r="D66" i="86" s="1"/>
  <c r="E66" i="86" s="1"/>
  <c r="E37" i="66"/>
  <c r="E37" i="69"/>
  <c r="F10" i="90"/>
  <c r="D32" i="72"/>
  <c r="C63" i="86" s="1"/>
  <c r="D63" i="86"/>
  <c r="E63" i="86" s="1"/>
  <c r="C57" i="86"/>
  <c r="D57" i="86" s="1"/>
  <c r="E57" i="86" s="1"/>
  <c r="E63" i="90"/>
  <c r="F63" i="90" s="1"/>
  <c r="E39" i="36"/>
  <c r="E30" i="90"/>
  <c r="F30" i="90" s="1"/>
  <c r="C51" i="86"/>
  <c r="D51" i="86" s="1"/>
  <c r="E51" i="86" s="1"/>
  <c r="E46" i="90"/>
  <c r="F46" i="90"/>
  <c r="C41" i="86"/>
  <c r="D41" i="86"/>
  <c r="E41" i="86" s="1"/>
  <c r="D53" i="77"/>
  <c r="C40" i="86" s="1"/>
  <c r="D40" i="86" s="1"/>
  <c r="E40" i="86" s="1"/>
  <c r="E107" i="90"/>
  <c r="F107" i="90" s="1"/>
  <c r="C9" i="86"/>
  <c r="D77" i="86"/>
  <c r="E126" i="90"/>
  <c r="F126" i="90" s="1"/>
  <c r="F18" i="90"/>
  <c r="E19" i="90"/>
  <c r="F129" i="90"/>
  <c r="E82" i="90"/>
  <c r="D9" i="86"/>
  <c r="F82" i="90"/>
  <c r="D48" i="91" l="1"/>
  <c r="C15" i="91"/>
  <c r="E15" i="91"/>
  <c r="D44" i="91"/>
  <c r="C48" i="86"/>
  <c r="D48" i="86" s="1"/>
  <c r="E48" i="86" s="1"/>
  <c r="E67" i="90"/>
  <c r="F67" i="90" s="1"/>
  <c r="E45" i="90"/>
  <c r="F45" i="90" s="1"/>
  <c r="C16" i="86"/>
  <c r="E34" i="43"/>
  <c r="C47" i="86"/>
  <c r="D47" i="86" s="1"/>
  <c r="E47" i="86" s="1"/>
  <c r="E65" i="90"/>
  <c r="F65" i="90" s="1"/>
  <c r="D93" i="90"/>
  <c r="F93" i="90" s="1"/>
  <c r="C24" i="24"/>
  <c r="B23" i="86" s="1"/>
  <c r="D23" i="86" s="1"/>
  <c r="E23" i="86" s="1"/>
  <c r="D69" i="90"/>
  <c r="F69" i="90" s="1"/>
  <c r="C32" i="46"/>
  <c r="B29" i="86" s="1"/>
  <c r="D76" i="90"/>
  <c r="F76" i="90" s="1"/>
  <c r="B30" i="86"/>
  <c r="D30" i="86" s="1"/>
  <c r="E30" i="86" s="1"/>
  <c r="E9" i="86"/>
  <c r="E130" i="90"/>
  <c r="E36" i="90"/>
  <c r="D60" i="55"/>
  <c r="C38" i="86" s="1"/>
  <c r="E35" i="28"/>
  <c r="D36" i="90"/>
  <c r="F36" i="90" s="1"/>
  <c r="B56" i="86"/>
  <c r="D56" i="86" s="1"/>
  <c r="E56" i="86" s="1"/>
  <c r="D58" i="86"/>
  <c r="E58" i="86" s="1"/>
  <c r="B70" i="86"/>
  <c r="D70" i="86" s="1"/>
  <c r="E70" i="86" s="1"/>
  <c r="D127" i="90"/>
  <c r="B75" i="86"/>
  <c r="D75" i="86" s="1"/>
  <c r="E75" i="86" s="1"/>
  <c r="D139" i="90"/>
  <c r="D81" i="86"/>
  <c r="E81" i="86" s="1"/>
  <c r="E13" i="33"/>
  <c r="D12" i="86"/>
  <c r="E12" i="86" s="1"/>
  <c r="E61" i="90"/>
  <c r="F61" i="90" s="1"/>
  <c r="D64" i="86"/>
  <c r="E64" i="86" s="1"/>
  <c r="D42" i="90"/>
  <c r="F42" i="90" s="1"/>
  <c r="C39" i="31"/>
  <c r="B15" i="86" s="1"/>
  <c r="D38" i="86"/>
  <c r="E38" i="86" s="1"/>
  <c r="E101" i="90"/>
  <c r="D39" i="35"/>
  <c r="C26" i="86" s="1"/>
  <c r="D26" i="86" s="1"/>
  <c r="E26" i="86" s="1"/>
  <c r="F112" i="90"/>
  <c r="C80" i="86"/>
  <c r="E80" i="90"/>
  <c r="D46" i="91"/>
  <c r="B65" i="86"/>
  <c r="D65" i="86" s="1"/>
  <c r="E65" i="86" s="1"/>
  <c r="D31" i="39"/>
  <c r="C14" i="86" s="1"/>
  <c r="D14" i="86" s="1"/>
  <c r="E14" i="86" s="1"/>
  <c r="E39" i="31"/>
  <c r="B17" i="91"/>
  <c r="C17" i="91" s="1"/>
  <c r="E50" i="90"/>
  <c r="F50" i="90" s="1"/>
  <c r="D34" i="43"/>
  <c r="C22" i="86" s="1"/>
  <c r="B77" i="86"/>
  <c r="E77" i="86" s="1"/>
  <c r="D140" i="90"/>
  <c r="E11" i="90"/>
  <c r="C79" i="86"/>
  <c r="E111" i="90"/>
  <c r="F111" i="90" s="1"/>
  <c r="C35" i="53"/>
  <c r="B33" i="86" s="1"/>
  <c r="D33" i="86" s="1"/>
  <c r="E33" i="86" s="1"/>
  <c r="E105" i="90"/>
  <c r="D31" i="5"/>
  <c r="C27" i="86" s="1"/>
  <c r="D27" i="86" s="1"/>
  <c r="E27" i="86" s="1"/>
  <c r="C24" i="86"/>
  <c r="D24" i="86" s="1"/>
  <c r="E24" i="86" s="1"/>
  <c r="E54" i="90"/>
  <c r="F54" i="90" s="1"/>
  <c r="E35" i="1"/>
  <c r="B19" i="91"/>
  <c r="E19" i="91" s="1"/>
  <c r="F105" i="90"/>
  <c r="D44" i="90"/>
  <c r="F44" i="90" s="1"/>
  <c r="C72" i="15"/>
  <c r="B34" i="86" s="1"/>
  <c r="D34" i="86" s="1"/>
  <c r="E34" i="86" s="1"/>
  <c r="B25" i="91"/>
  <c r="E83" i="90"/>
  <c r="F83" i="90" s="1"/>
  <c r="B39" i="86"/>
  <c r="D39" i="86" s="1"/>
  <c r="E39" i="86" s="1"/>
  <c r="D106" i="90"/>
  <c r="F106" i="90" s="1"/>
  <c r="F101" i="90"/>
  <c r="C10" i="86"/>
  <c r="E98" i="90"/>
  <c r="F98" i="90" s="1"/>
  <c r="D16" i="86"/>
  <c r="E16" i="86" s="1"/>
  <c r="E62" i="90"/>
  <c r="C18" i="86"/>
  <c r="B37" i="86"/>
  <c r="D37" i="86" s="1"/>
  <c r="E37" i="86" s="1"/>
  <c r="B62" i="86"/>
  <c r="D62" i="86" s="1"/>
  <c r="E62" i="86" s="1"/>
  <c r="C52" i="86"/>
  <c r="E110" i="90"/>
  <c r="D110" i="90"/>
  <c r="F110" i="90" s="1"/>
  <c r="B52" i="86"/>
  <c r="C52" i="11"/>
  <c r="D66" i="90"/>
  <c r="F66" i="90" s="1"/>
  <c r="B11" i="86"/>
  <c r="E18" i="12"/>
  <c r="E21" i="12" s="1"/>
  <c r="E42" i="12" s="1"/>
  <c r="C21" i="12"/>
  <c r="C42" i="12" s="1"/>
  <c r="C45" i="86"/>
  <c r="D45" i="86" s="1"/>
  <c r="E45" i="86" s="1"/>
  <c r="C34" i="43"/>
  <c r="B22" i="86" s="1"/>
  <c r="D23" i="40"/>
  <c r="C17" i="86" s="1"/>
  <c r="D36" i="31"/>
  <c r="D22" i="21"/>
  <c r="D18" i="13"/>
  <c r="D34" i="52"/>
  <c r="E112" i="90" s="1"/>
  <c r="C23" i="40"/>
  <c r="B17" i="86" s="1"/>
  <c r="D17" i="86" s="1"/>
  <c r="E17" i="86" s="1"/>
  <c r="B18" i="86"/>
  <c r="D18" i="86" s="1"/>
  <c r="E18" i="86" s="1"/>
  <c r="D62" i="90"/>
  <c r="F100" i="90"/>
  <c r="F37" i="90"/>
  <c r="E22" i="21"/>
  <c r="E25" i="21" s="1"/>
  <c r="E18" i="13"/>
  <c r="E31" i="13" s="1"/>
  <c r="E20" i="58"/>
  <c r="E10" i="83"/>
  <c r="E18" i="83" s="1"/>
  <c r="E31" i="39"/>
  <c r="E19" i="81"/>
  <c r="B79" i="86"/>
  <c r="F72" i="90"/>
  <c r="D15" i="27"/>
  <c r="E32" i="33"/>
  <c r="E29" i="42"/>
  <c r="E32" i="42" s="1"/>
  <c r="E45" i="44"/>
  <c r="E50" i="44" s="1"/>
  <c r="E21" i="49"/>
  <c r="D17" i="51"/>
  <c r="D29" i="46"/>
  <c r="E10" i="63"/>
  <c r="E20" i="63" s="1"/>
  <c r="C37" i="85"/>
  <c r="D82" i="86"/>
  <c r="E82" i="86" s="1"/>
  <c r="E49" i="11"/>
  <c r="E52" i="11" s="1"/>
  <c r="D19" i="89"/>
  <c r="E60" i="90" s="1"/>
  <c r="F60" i="90" s="1"/>
  <c r="D18" i="9"/>
  <c r="C32" i="33"/>
  <c r="E24" i="52"/>
  <c r="E50" i="77"/>
  <c r="E53" i="77" s="1"/>
  <c r="E27" i="85"/>
  <c r="E37" i="85" s="1"/>
  <c r="E20" i="74"/>
  <c r="E19" i="89"/>
  <c r="F119" i="90"/>
  <c r="C76" i="86"/>
  <c r="D76" i="86" s="1"/>
  <c r="E81" i="90"/>
  <c r="F81" i="90" s="1"/>
  <c r="B72" i="86" l="1"/>
  <c r="D72" i="86" s="1"/>
  <c r="E72" i="86" s="1"/>
  <c r="D16" i="90"/>
  <c r="D39" i="90"/>
  <c r="C35" i="33"/>
  <c r="B13" i="86" s="1"/>
  <c r="D13" i="86" s="1"/>
  <c r="E13" i="86" s="1"/>
  <c r="E52" i="90"/>
  <c r="F52" i="90" s="1"/>
  <c r="D29" i="51"/>
  <c r="C31" i="86" s="1"/>
  <c r="D31" i="86" s="1"/>
  <c r="E31" i="86" s="1"/>
  <c r="D52" i="86"/>
  <c r="E52" i="86" s="1"/>
  <c r="F11" i="90"/>
  <c r="F13" i="90" s="1"/>
  <c r="E13" i="90"/>
  <c r="E19" i="94"/>
  <c r="E34" i="52"/>
  <c r="E37" i="52" s="1"/>
  <c r="E17" i="94"/>
  <c r="E70" i="90"/>
  <c r="F70" i="90" s="1"/>
  <c r="D32" i="46"/>
  <c r="C29" i="86" s="1"/>
  <c r="C84" i="86" s="1"/>
  <c r="E43" i="90"/>
  <c r="D39" i="31"/>
  <c r="C15" i="86" s="1"/>
  <c r="D79" i="86"/>
  <c r="E79" i="86" s="1"/>
  <c r="C49" i="86"/>
  <c r="D49" i="86" s="1"/>
  <c r="E49" i="86" s="1"/>
  <c r="E74" i="90"/>
  <c r="F74" i="90" s="1"/>
  <c r="F62" i="90"/>
  <c r="D31" i="13"/>
  <c r="C28" i="86" s="1"/>
  <c r="D28" i="86" s="1"/>
  <c r="E28" i="86" s="1"/>
  <c r="E115" i="90"/>
  <c r="F115" i="90" s="1"/>
  <c r="D22" i="86"/>
  <c r="E22" i="86" s="1"/>
  <c r="D11" i="86"/>
  <c r="E11" i="86" s="1"/>
  <c r="B84" i="86"/>
  <c r="D37" i="52"/>
  <c r="C32" i="86" s="1"/>
  <c r="D32" i="86" s="1"/>
  <c r="E32" i="86" s="1"/>
  <c r="D15" i="86"/>
  <c r="E15" i="86" s="1"/>
  <c r="E35" i="33"/>
  <c r="F127" i="90"/>
  <c r="F130" i="90" s="1"/>
  <c r="E15" i="94"/>
  <c r="C19" i="91"/>
  <c r="E13" i="94"/>
  <c r="D128" i="90"/>
  <c r="F128" i="90" s="1"/>
  <c r="B69" i="86"/>
  <c r="D69" i="86" s="1"/>
  <c r="E69" i="86" s="1"/>
  <c r="E21" i="94"/>
  <c r="C46" i="91"/>
  <c r="E46" i="91"/>
  <c r="D141" i="90"/>
  <c r="F139" i="90"/>
  <c r="F141" i="90" s="1"/>
  <c r="C48" i="91"/>
  <c r="E48" i="91"/>
  <c r="D80" i="90"/>
  <c r="F80" i="90" s="1"/>
  <c r="B80" i="86"/>
  <c r="D80" i="86" s="1"/>
  <c r="E80" i="86" s="1"/>
  <c r="C43" i="86"/>
  <c r="D43" i="86" s="1"/>
  <c r="E43" i="86" s="1"/>
  <c r="E113" i="90"/>
  <c r="F113" i="90" s="1"/>
  <c r="E78" i="90"/>
  <c r="F78" i="90" s="1"/>
  <c r="D25" i="21"/>
  <c r="C21" i="86" s="1"/>
  <c r="D21" i="86" s="1"/>
  <c r="E21" i="86" s="1"/>
  <c r="D10" i="86"/>
  <c r="C44" i="91"/>
  <c r="E44" i="91"/>
  <c r="E17" i="91"/>
  <c r="D13" i="91" l="1"/>
  <c r="D19" i="94"/>
  <c r="F16" i="90"/>
  <c r="F19" i="90" s="1"/>
  <c r="D19" i="90"/>
  <c r="D21" i="91"/>
  <c r="D15" i="94"/>
  <c r="E16" i="94"/>
  <c r="P142" i="86" s="1"/>
  <c r="E10" i="86"/>
  <c r="D29" i="86"/>
  <c r="E29" i="86" s="1"/>
  <c r="D17" i="94"/>
  <c r="E14" i="90"/>
  <c r="E145" i="90"/>
  <c r="D21" i="94"/>
  <c r="F39" i="90"/>
  <c r="D122" i="90"/>
  <c r="B21" i="91"/>
  <c r="E142" i="90"/>
  <c r="D13" i="94"/>
  <c r="E26" i="94"/>
  <c r="E24" i="94" s="1"/>
  <c r="P146" i="86" s="1"/>
  <c r="D130" i="90"/>
  <c r="F43" i="90"/>
  <c r="E122" i="90"/>
  <c r="D25" i="91"/>
  <c r="B23" i="91" l="1"/>
  <c r="E20" i="90"/>
  <c r="D145" i="90"/>
  <c r="D20" i="90" s="1"/>
  <c r="C197" i="90" s="1"/>
  <c r="F122" i="90"/>
  <c r="D23" i="91"/>
  <c r="B13" i="91"/>
  <c r="E13" i="91" s="1"/>
  <c r="E131" i="90"/>
  <c r="D42" i="91"/>
  <c r="E25" i="91"/>
  <c r="C25" i="91"/>
  <c r="D54" i="91"/>
  <c r="E123" i="90"/>
  <c r="E14" i="94"/>
  <c r="P141" i="86" s="1"/>
  <c r="E22" i="94"/>
  <c r="P145" i="86" s="1"/>
  <c r="E18" i="94"/>
  <c r="P143" i="86" s="1"/>
  <c r="D84" i="86"/>
  <c r="E84" i="86" s="1"/>
  <c r="C21" i="91"/>
  <c r="D50" i="91"/>
  <c r="E21" i="91"/>
  <c r="E20" i="94"/>
  <c r="P144" i="86" s="1"/>
  <c r="B11" i="91"/>
  <c r="B28" i="91" s="1"/>
  <c r="D123" i="90"/>
  <c r="C194" i="90" s="1"/>
  <c r="D26" i="94"/>
  <c r="D18" i="94" s="1"/>
  <c r="D22" i="94"/>
  <c r="D20" i="94"/>
  <c r="D14" i="94" l="1"/>
  <c r="C13" i="91"/>
  <c r="D131" i="90"/>
  <c r="C198" i="90" s="1"/>
  <c r="D16" i="94"/>
  <c r="E23" i="91"/>
  <c r="C23" i="91"/>
  <c r="D52" i="91"/>
  <c r="C54" i="91"/>
  <c r="E54" i="91"/>
  <c r="E42" i="91"/>
  <c r="C42" i="91"/>
  <c r="D11" i="91"/>
  <c r="F145" i="90"/>
  <c r="C50" i="91"/>
  <c r="E50" i="91"/>
  <c r="D134" i="90"/>
  <c r="C199" i="90" s="1"/>
  <c r="D137" i="90"/>
  <c r="C195" i="90" s="1"/>
  <c r="D28" i="90"/>
  <c r="C193" i="90" s="1"/>
  <c r="D14" i="90"/>
  <c r="C196" i="90" s="1"/>
  <c r="D142" i="90"/>
  <c r="C200" i="90" s="1"/>
  <c r="E146" i="90"/>
  <c r="F137" i="90" l="1"/>
  <c r="C207" i="90" s="1"/>
  <c r="F134" i="90"/>
  <c r="C211" i="90" s="1"/>
  <c r="F28" i="90"/>
  <c r="C205" i="90" s="1"/>
  <c r="F142" i="90"/>
  <c r="C212" i="90" s="1"/>
  <c r="F14" i="90"/>
  <c r="C208" i="90" s="1"/>
  <c r="F131" i="90"/>
  <c r="C210" i="90" s="1"/>
  <c r="F20" i="90"/>
  <c r="C209" i="90" s="1"/>
  <c r="E52" i="91"/>
  <c r="C52" i="91"/>
  <c r="D40" i="91"/>
  <c r="D28" i="91"/>
  <c r="E28" i="91" s="1"/>
  <c r="E11" i="91"/>
  <c r="C11" i="91"/>
  <c r="F123" i="90"/>
  <c r="C206" i="90" s="1"/>
  <c r="D56" i="91" l="1"/>
  <c r="E56" i="91" s="1"/>
  <c r="C40" i="91"/>
  <c r="E40" i="91"/>
  <c r="C28" i="91"/>
  <c r="F11" i="91"/>
  <c r="C56" i="91" l="1"/>
  <c r="F17" i="91"/>
  <c r="F15" i="91"/>
  <c r="F19" i="91"/>
  <c r="F21" i="91"/>
  <c r="F25" i="91"/>
  <c r="F23" i="91"/>
  <c r="F13" i="91"/>
  <c r="F28" i="91" s="1"/>
  <c r="F44" i="91" l="1"/>
  <c r="F46" i="91"/>
  <c r="F48" i="91"/>
  <c r="F50" i="91"/>
  <c r="F42" i="91"/>
  <c r="F54" i="91"/>
  <c r="F52" i="91"/>
  <c r="F40" i="91"/>
  <c r="F56" i="91" s="1"/>
</calcChain>
</file>

<file path=xl/sharedStrings.xml><?xml version="1.0" encoding="utf-8"?>
<sst xmlns="http://schemas.openxmlformats.org/spreadsheetml/2006/main" count="2597" uniqueCount="537">
  <si>
    <t>Facilities</t>
  </si>
  <si>
    <t>Communications &amp; IT Related</t>
  </si>
  <si>
    <t>Employee Travel</t>
  </si>
  <si>
    <t>Employee Dues and Memberships</t>
  </si>
  <si>
    <t>Total Contracted Services</t>
  </si>
  <si>
    <t>Gasoline</t>
  </si>
  <si>
    <t>Office Supplies &amp; Minor Equipment</t>
  </si>
  <si>
    <t>Repair Parts Maintenance Supplies - Vehicles</t>
  </si>
  <si>
    <t>Library Books/Media</t>
  </si>
  <si>
    <t>Total Supplies &amp; Materials</t>
  </si>
  <si>
    <t>9970-0000</t>
  </si>
  <si>
    <t>In-Service/Staff Development</t>
  </si>
  <si>
    <t>Total Other Charges</t>
  </si>
  <si>
    <t>Total Facilities</t>
  </si>
  <si>
    <t>Clerical Personnel</t>
  </si>
  <si>
    <t>Social Security</t>
  </si>
  <si>
    <t>State Retirement</t>
  </si>
  <si>
    <t>Life Insurance</t>
  </si>
  <si>
    <t>Medical Insurance</t>
  </si>
  <si>
    <t>Dental Insurance</t>
  </si>
  <si>
    <t>Local Retirement</t>
  </si>
  <si>
    <t>Operations &amp; Maintenance</t>
  </si>
  <si>
    <t>Other Professional Services</t>
  </si>
  <si>
    <t>Space Rentals</t>
  </si>
  <si>
    <t>Employee Tuition</t>
  </si>
  <si>
    <t>Food</t>
  </si>
  <si>
    <t>Central &amp; Other</t>
  </si>
  <si>
    <t>Social Studies</t>
  </si>
  <si>
    <t>Educational Materials</t>
  </si>
  <si>
    <t>Instructional Supplies</t>
  </si>
  <si>
    <t>Textbooks</t>
  </si>
  <si>
    <t>Administrative Allocation</t>
  </si>
  <si>
    <t>Instruction</t>
  </si>
  <si>
    <t>Substitute Teachers</t>
  </si>
  <si>
    <t>Total Other Chages</t>
  </si>
  <si>
    <t>Total Social Studies</t>
  </si>
  <si>
    <t>Regular Instruction</t>
  </si>
  <si>
    <t>Instructional Support</t>
  </si>
  <si>
    <t>Choral Music</t>
  </si>
  <si>
    <t>Paraprofessionals</t>
  </si>
  <si>
    <t>Other Salaries &amp; Wages</t>
  </si>
  <si>
    <t>Communications</t>
  </si>
  <si>
    <t>Rent, Repair, Maintenance Operating Equip.</t>
  </si>
  <si>
    <t>Periodicals</t>
  </si>
  <si>
    <t>Machinery, Equipment, Furniture</t>
  </si>
  <si>
    <t>Total Capital Outlay</t>
  </si>
  <si>
    <t>Total Public Affairs</t>
  </si>
  <si>
    <t>Publications</t>
  </si>
  <si>
    <t xml:space="preserve">Rent, Repair, Maintenance </t>
  </si>
  <si>
    <t>Total Publications</t>
  </si>
  <si>
    <t>Libraries/Audio-Visual</t>
  </si>
  <si>
    <t>Legal Services</t>
  </si>
  <si>
    <t>Consultants</t>
  </si>
  <si>
    <t>Total Other Expenses</t>
  </si>
  <si>
    <t>Total Libraries/Audio-Visual</t>
  </si>
  <si>
    <t>Maintenance of Plant</t>
  </si>
  <si>
    <t>Secretaries</t>
  </si>
  <si>
    <t>Custodial Personnel</t>
  </si>
  <si>
    <t>Svs.  Related to Maint. Of Buildings &amp; Grounds</t>
  </si>
  <si>
    <t>Contracts w/Private Agencies</t>
  </si>
  <si>
    <t>Employee Tution</t>
  </si>
  <si>
    <t>Drugs, Medical Hygiene Supplies</t>
  </si>
  <si>
    <t xml:space="preserve">Repair Parts Maintenance Supplies  </t>
  </si>
  <si>
    <t>Construction Heavy Maintenance</t>
  </si>
  <si>
    <t>Safety &amp; Law Enforcement Supplies</t>
  </si>
  <si>
    <t>Other Materials for Daily Operations</t>
  </si>
  <si>
    <t>Buildings</t>
  </si>
  <si>
    <t>Heating &amp; Air Conditioning</t>
  </si>
  <si>
    <t>Total Maintenance of Plant</t>
  </si>
  <si>
    <t>Operation of Plant</t>
  </si>
  <si>
    <t>Maintenance Personnel</t>
  </si>
  <si>
    <t>Utilities &amp; Fuel</t>
  </si>
  <si>
    <t>Electricity</t>
  </si>
  <si>
    <t>Natural Gas</t>
  </si>
  <si>
    <t>Water &amp; Sewer</t>
  </si>
  <si>
    <t xml:space="preserve">Repair Parts Maintenance Supplies   </t>
  </si>
  <si>
    <t>Vehicles</t>
  </si>
  <si>
    <t>Insurance Related Expenses</t>
  </si>
  <si>
    <t>Total Operation of Plant</t>
  </si>
  <si>
    <t>Contracts w/Other Agencies</t>
  </si>
  <si>
    <t>Employees Dues &amp; Memberships</t>
  </si>
  <si>
    <t>Total Instruction</t>
  </si>
  <si>
    <t>Total Instructional Support</t>
  </si>
  <si>
    <t>Austin-East Magnet</t>
  </si>
  <si>
    <t>Total Austin-East Magnet</t>
  </si>
  <si>
    <t>Vine Magnet</t>
  </si>
  <si>
    <t>Total Vine Magnet</t>
  </si>
  <si>
    <t>Beaumont Magnet</t>
  </si>
  <si>
    <t>Total Materials &amp; Supplies</t>
  </si>
  <si>
    <t>Total Beaumont Magnet</t>
  </si>
  <si>
    <t>Sarah Moore Greene Magnet</t>
  </si>
  <si>
    <t>Green Magnet</t>
  </si>
  <si>
    <t>Total Green Magnet</t>
  </si>
  <si>
    <t>Teachers</t>
  </si>
  <si>
    <t>Employee Dues &amp; Memberships</t>
  </si>
  <si>
    <t>Math</t>
  </si>
  <si>
    <t>Repair Parts Maintenance Supplies - Equipment</t>
  </si>
  <si>
    <t>Total Math</t>
  </si>
  <si>
    <t>Health Education</t>
  </si>
  <si>
    <t>Total Health Education</t>
  </si>
  <si>
    <t>Instructional Materials</t>
  </si>
  <si>
    <t>Physical Education</t>
  </si>
  <si>
    <t>Total Personal Services</t>
  </si>
  <si>
    <t>Communications and IT Related</t>
  </si>
  <si>
    <t>Total Physical Education</t>
  </si>
  <si>
    <t>Career &amp; Technical Instruction</t>
  </si>
  <si>
    <t xml:space="preserve">Teachers </t>
  </si>
  <si>
    <t>Educational Assistants</t>
  </si>
  <si>
    <t>Career Ladder Program</t>
  </si>
  <si>
    <t>Career Ladder Extended Contracts</t>
  </si>
  <si>
    <t>Substitutes</t>
  </si>
  <si>
    <t>Total Employee Benefits</t>
  </si>
  <si>
    <t>Repair Parts Maintenance Supp.-Equip.</t>
  </si>
  <si>
    <t>Repair Parts Maintenance Supplies</t>
  </si>
  <si>
    <t>Repair Parts Maint. Supplies-Vehicles</t>
  </si>
  <si>
    <t>Vocational Education Equipment</t>
  </si>
  <si>
    <t>Liability Insurance</t>
  </si>
  <si>
    <t>Total Career &amp; Technical Instruction</t>
  </si>
  <si>
    <t>Business Education</t>
  </si>
  <si>
    <t xml:space="preserve">In-Service/Staff Development </t>
  </si>
  <si>
    <t>Total Business Education</t>
  </si>
  <si>
    <t>T &amp; I Instruction</t>
  </si>
  <si>
    <t>Total T &amp; I Instruction</t>
  </si>
  <si>
    <t>Career &amp; Technical Support</t>
  </si>
  <si>
    <t>Transportation of Non-Employee</t>
  </si>
  <si>
    <t>Total Career &amp; Technical Support</t>
  </si>
  <si>
    <t>Adult Education</t>
  </si>
  <si>
    <t>Total Adult Education</t>
  </si>
  <si>
    <t>Student Assistance Services</t>
  </si>
  <si>
    <t>Other Materials &amp; Supplies</t>
  </si>
  <si>
    <t>Total Student Assistance Services</t>
  </si>
  <si>
    <t>Basic Secondary</t>
  </si>
  <si>
    <t>Evaluation &amp; Testing</t>
  </si>
  <si>
    <t>BEP Allocation</t>
  </si>
  <si>
    <t>Fee Waiver Allocation</t>
  </si>
  <si>
    <t>Rent, Repair, Maintenance Op.-Equip.</t>
  </si>
  <si>
    <t>Transportation of Non-Employees</t>
  </si>
  <si>
    <t>Total Basic Secondary</t>
  </si>
  <si>
    <t>Security</t>
  </si>
  <si>
    <t>Guards</t>
  </si>
  <si>
    <t>Total Security</t>
  </si>
  <si>
    <t>Basic Elementary</t>
  </si>
  <si>
    <t>Total Basic Elementary</t>
  </si>
  <si>
    <t>Instructional Staff Development</t>
  </si>
  <si>
    <t>Total Instructional Staff Development</t>
  </si>
  <si>
    <t>In-Service Staff Development</t>
  </si>
  <si>
    <t>Science</t>
  </si>
  <si>
    <t>Safety and Law Enforcement Supplies</t>
  </si>
  <si>
    <t>Administrative Allocations</t>
  </si>
  <si>
    <t>Total Science</t>
  </si>
  <si>
    <t>Health Services</t>
  </si>
  <si>
    <t>Medical Personnel</t>
  </si>
  <si>
    <t>Drugs, Medical, Hygiene Supplies</t>
  </si>
  <si>
    <t>Total Health Services</t>
  </si>
  <si>
    <t>Student Support</t>
  </si>
  <si>
    <t>Homebound Teachers</t>
  </si>
  <si>
    <t>Temporary Part-Time</t>
  </si>
  <si>
    <t>Other Fringe Benefits</t>
  </si>
  <si>
    <t>Art</t>
  </si>
  <si>
    <t xml:space="preserve">Food </t>
  </si>
  <si>
    <t>Office Supplies and Minor Equipment</t>
  </si>
  <si>
    <t>Total Art</t>
  </si>
  <si>
    <t>Basic Middle</t>
  </si>
  <si>
    <t>Total Basic Middle</t>
  </si>
  <si>
    <t>Kindergarten</t>
  </si>
  <si>
    <t>Total Kindergarten</t>
  </si>
  <si>
    <t>Language Arts</t>
  </si>
  <si>
    <t>Total Language Arts</t>
  </si>
  <si>
    <t>Contract with Private Agencies</t>
  </si>
  <si>
    <t>Total Choral Music</t>
  </si>
  <si>
    <t>Instrumental Music</t>
  </si>
  <si>
    <t>Total Instrumental Music</t>
  </si>
  <si>
    <t>General School</t>
  </si>
  <si>
    <t>Instructional Equipment</t>
  </si>
  <si>
    <t>Data Processing Equipment</t>
  </si>
  <si>
    <t>Total General School</t>
  </si>
  <si>
    <t>Athletics</t>
  </si>
  <si>
    <t>Athletic Field Maintenance</t>
  </si>
  <si>
    <t>Total Athletics</t>
  </si>
  <si>
    <t>Total Materials Center</t>
  </si>
  <si>
    <t>Materials Center</t>
  </si>
  <si>
    <t>Driver's Education</t>
  </si>
  <si>
    <t>Total Driver's Education</t>
  </si>
  <si>
    <t xml:space="preserve">Rent, Repair, Maint. Op.-Equipment </t>
  </si>
  <si>
    <t>Drugs. Medical, Hygiene Supplies</t>
  </si>
  <si>
    <t xml:space="preserve">Rent, Repair, Maintenance Op.-Equip.  </t>
  </si>
  <si>
    <t>Total System-Wide Screening</t>
  </si>
  <si>
    <t>System-Wide Screening</t>
  </si>
  <si>
    <t>Section 504</t>
  </si>
  <si>
    <t>Total Section 504</t>
  </si>
  <si>
    <t>Alternative Schools</t>
  </si>
  <si>
    <t xml:space="preserve">Principal </t>
  </si>
  <si>
    <t>Guidance</t>
  </si>
  <si>
    <t>Social Workers</t>
  </si>
  <si>
    <t>Accountants/Bookkeepers</t>
  </si>
  <si>
    <t>Total Alternative Schools</t>
  </si>
  <si>
    <t>Travel Supplement</t>
  </si>
  <si>
    <t>Attendance</t>
  </si>
  <si>
    <t>Supervisors</t>
  </si>
  <si>
    <t xml:space="preserve">Social Security </t>
  </si>
  <si>
    <t>Total Attendance</t>
  </si>
  <si>
    <t>Psychological Personnel</t>
  </si>
  <si>
    <t>Total Other Student Support</t>
  </si>
  <si>
    <t>Pupil Personnel</t>
  </si>
  <si>
    <t>Transfer Department</t>
  </si>
  <si>
    <t>Total Personnel Services</t>
  </si>
  <si>
    <t>Total Transfer Department</t>
  </si>
  <si>
    <t>Total Guidance</t>
  </si>
  <si>
    <t>Board of Education</t>
  </si>
  <si>
    <t>Board Secretary</t>
  </si>
  <si>
    <t>Temporary Employees</t>
  </si>
  <si>
    <t>Unemployment Compensation</t>
  </si>
  <si>
    <t>Medical Services</t>
  </si>
  <si>
    <t>Trustee's Commission</t>
  </si>
  <si>
    <t>Other</t>
  </si>
  <si>
    <t>Other Charges</t>
  </si>
  <si>
    <t>General Administration</t>
  </si>
  <si>
    <t>Superintendent</t>
  </si>
  <si>
    <t>Disability Insurance</t>
  </si>
  <si>
    <t>Total Office of Superintendent</t>
  </si>
  <si>
    <t>School Administration</t>
  </si>
  <si>
    <t>Total Office Of Principal</t>
  </si>
  <si>
    <t>Total Board Of Education</t>
  </si>
  <si>
    <t>Business Administration</t>
  </si>
  <si>
    <t>Fiscal Services</t>
  </si>
  <si>
    <t>Office Supplies &amp; Small Equipment</t>
  </si>
  <si>
    <t>Total Fiscal Services</t>
  </si>
  <si>
    <t>Warehouse</t>
  </si>
  <si>
    <t>Repair Parts Maint. Supplies - Vehicles</t>
  </si>
  <si>
    <t>Total Warehouse</t>
  </si>
  <si>
    <t>Other Uses</t>
  </si>
  <si>
    <t>Office of Principal</t>
  </si>
  <si>
    <t>Total Pupil Personnel</t>
  </si>
  <si>
    <t>Contracts w/Public Agencies</t>
  </si>
  <si>
    <t>Special Education Instruction</t>
  </si>
  <si>
    <t>Special Education Support</t>
  </si>
  <si>
    <t>Total Special Education Instruction</t>
  </si>
  <si>
    <t>Staff Development/In-Service</t>
  </si>
  <si>
    <t>Total Special Education Support</t>
  </si>
  <si>
    <t>Extended Career Ladder Program</t>
  </si>
  <si>
    <t>Supervisors/Directors</t>
  </si>
  <si>
    <t>Librarians</t>
  </si>
  <si>
    <t>Materials Supervisor</t>
  </si>
  <si>
    <t>Regular Instructional Support</t>
  </si>
  <si>
    <t>Total Regular Instructional Support</t>
  </si>
  <si>
    <t>Psychologists</t>
  </si>
  <si>
    <t>Repair Parts Maint. Supplies-Equipment</t>
  </si>
  <si>
    <t>Regular Contracts</t>
  </si>
  <si>
    <t>Special Education</t>
  </si>
  <si>
    <t>Contract with Parents</t>
  </si>
  <si>
    <t>Student Transportation</t>
  </si>
  <si>
    <t>High School PE/Wellness</t>
  </si>
  <si>
    <t>Total High School PE/Wellness</t>
  </si>
  <si>
    <t>World Languages</t>
  </si>
  <si>
    <t>Vocational</t>
  </si>
  <si>
    <t>Summer School</t>
  </si>
  <si>
    <t>Total Summer School</t>
  </si>
  <si>
    <t>Assistant Principals</t>
  </si>
  <si>
    <t>Technology</t>
  </si>
  <si>
    <t>Total World Languages</t>
  </si>
  <si>
    <t>Total Technology</t>
  </si>
  <si>
    <t>Knox County Schools General Purpose School Fund</t>
  </si>
  <si>
    <t>Total Central &amp; Other</t>
  </si>
  <si>
    <t>Instruction Program</t>
  </si>
  <si>
    <t>Total Instruction Program</t>
  </si>
  <si>
    <t>Medical Supplies</t>
  </si>
  <si>
    <t>Employee Dues/Memberships</t>
  </si>
  <si>
    <t xml:space="preserve">Student Support </t>
  </si>
  <si>
    <t>Total Sarah Moore Greene Magnet</t>
  </si>
  <si>
    <t>Office of Superintendent</t>
  </si>
  <si>
    <t>Transportation</t>
  </si>
  <si>
    <t>Total Student Transportation</t>
  </si>
  <si>
    <t>Total Other Uses</t>
  </si>
  <si>
    <t>Project GRAD</t>
  </si>
  <si>
    <t>Total Project GRAD</t>
  </si>
  <si>
    <t>Reductions</t>
  </si>
  <si>
    <t>Audio-Visual Personnel</t>
  </si>
  <si>
    <t>Other Services</t>
  </si>
  <si>
    <t xml:space="preserve">  Debt</t>
  </si>
  <si>
    <t xml:space="preserve">Transfers: </t>
  </si>
  <si>
    <t xml:space="preserve">  GED Testing</t>
  </si>
  <si>
    <t xml:space="preserve">  Case Manager</t>
  </si>
  <si>
    <t xml:space="preserve">  Family Resource Center</t>
  </si>
  <si>
    <t xml:space="preserve">  Health Services</t>
  </si>
  <si>
    <t xml:space="preserve">  Coordinated School Health Services</t>
  </si>
  <si>
    <t>Middle School Reading</t>
  </si>
  <si>
    <t>Elementary School Reading</t>
  </si>
  <si>
    <t>Total Elementary School Reading</t>
  </si>
  <si>
    <t>Total Middle School Reading</t>
  </si>
  <si>
    <t>Adopted</t>
  </si>
  <si>
    <t>Budget</t>
  </si>
  <si>
    <t xml:space="preserve"> </t>
  </si>
  <si>
    <t>Magnet Schools</t>
  </si>
  <si>
    <t>Other Student Support / Pupil Personnel</t>
  </si>
  <si>
    <t>Repair Parts, Maintenance Supplies - Equipment</t>
  </si>
  <si>
    <t>Rent, Repair, Maintenance Operations-Equipment</t>
  </si>
  <si>
    <t>Rent, Repair, Maintenance Operations-Vehicles</t>
  </si>
  <si>
    <t>High Needs Schools</t>
  </si>
  <si>
    <t>Total High Needs Schools</t>
  </si>
  <si>
    <t>Rent, Repair, Maintenance Operations- Equipment</t>
  </si>
  <si>
    <t>Curriculum</t>
  </si>
  <si>
    <t>Total Curriculum</t>
  </si>
  <si>
    <t>Rent, Repair, Maintenance, Operations-Equipment</t>
  </si>
  <si>
    <t>Rent, Repair, Maintenance Operations - Equipment</t>
  </si>
  <si>
    <t>Rent, Repair, Maintenance Oerations.-Equipment</t>
  </si>
  <si>
    <t xml:space="preserve">Rent, Repair, Maintenance Operations-Vehicles </t>
  </si>
  <si>
    <t>Rent, Repair, Maintenance Operatopms-Equipment</t>
  </si>
  <si>
    <t>Rent, Repair, Maintenance Operations Equipment</t>
  </si>
  <si>
    <t>Svs.  Related to Maintenance Of Buildings &amp; Grounds</t>
  </si>
  <si>
    <t>Rent, Repair, Maintenance Operations Vehicles</t>
  </si>
  <si>
    <t>Total Office of Accountability</t>
  </si>
  <si>
    <t>Office of Accountability</t>
  </si>
  <si>
    <t>Elementary Reading</t>
  </si>
  <si>
    <t>Middle Reading</t>
  </si>
  <si>
    <t>Student Assistance Svcs</t>
  </si>
  <si>
    <t>T&amp;I Instruction</t>
  </si>
  <si>
    <t>Total</t>
  </si>
  <si>
    <t>Adjustments</t>
  </si>
  <si>
    <t>Proposed</t>
  </si>
  <si>
    <t>Departmental</t>
  </si>
  <si>
    <t>Before</t>
  </si>
  <si>
    <t>After</t>
  </si>
  <si>
    <t>Number</t>
  </si>
  <si>
    <t>Department / Area</t>
  </si>
  <si>
    <t>Certified</t>
  </si>
  <si>
    <t>Classified</t>
  </si>
  <si>
    <t>Page</t>
  </si>
  <si>
    <r>
      <rPr>
        <b/>
        <sz val="10"/>
        <color indexed="10"/>
        <rFont val="Arial"/>
        <family val="2"/>
      </rPr>
      <t>(Reduction)</t>
    </r>
    <r>
      <rPr>
        <b/>
        <sz val="10"/>
        <rFont val="Arial"/>
        <family val="2"/>
      </rPr>
      <t xml:space="preserve"> in Positions</t>
    </r>
  </si>
  <si>
    <t>Approved</t>
  </si>
  <si>
    <t>Addition</t>
  </si>
  <si>
    <t>FTEs as</t>
  </si>
  <si>
    <t xml:space="preserve">   Principal</t>
  </si>
  <si>
    <t xml:space="preserve">   Interest</t>
  </si>
  <si>
    <t>Professional Dues and Memberships</t>
  </si>
  <si>
    <t>MAJOR CATEGORY LEVELS</t>
  </si>
  <si>
    <t>Postage &amp; Freight</t>
  </si>
  <si>
    <t>In Service/Staff Development</t>
  </si>
  <si>
    <t xml:space="preserve">In Service/Staff Development </t>
  </si>
  <si>
    <t>Repair Parts/Maintenance Supplies - Equipment</t>
  </si>
  <si>
    <t>Rent, Repair, Maintenance - Equipment</t>
  </si>
  <si>
    <t>Repair Parts Maintenance - Equipment</t>
  </si>
  <si>
    <t xml:space="preserve">  Adult Education</t>
  </si>
  <si>
    <t>Requested</t>
  </si>
  <si>
    <r>
      <t xml:space="preserve">2011-2012 FTE </t>
    </r>
    <r>
      <rPr>
        <b/>
        <sz val="10"/>
        <color indexed="60"/>
        <rFont val="Arial"/>
        <family val="2"/>
      </rPr>
      <t>Reductions</t>
    </r>
  </si>
  <si>
    <t xml:space="preserve">of </t>
  </si>
  <si>
    <t>Base</t>
  </si>
  <si>
    <t>Gifted &amp; Talented</t>
  </si>
  <si>
    <t xml:space="preserve">Regular Instruction Support </t>
  </si>
  <si>
    <t>Career &amp; Tech Instruction</t>
  </si>
  <si>
    <t>Career &amp; Tech Support</t>
  </si>
  <si>
    <t xml:space="preserve">Other Stdnt Spprt/Pupil Prsnl </t>
  </si>
  <si>
    <r>
      <t>Office of Principal</t>
    </r>
    <r>
      <rPr>
        <b/>
        <sz val="10"/>
        <rFont val="Arial"/>
        <family val="2"/>
      </rPr>
      <t xml:space="preserve"> </t>
    </r>
  </si>
  <si>
    <t xml:space="preserve">Fiscal Services </t>
  </si>
  <si>
    <t xml:space="preserve">Warehouse </t>
  </si>
  <si>
    <t xml:space="preserve">Maintenance of Plant </t>
  </si>
  <si>
    <t xml:space="preserve">Technology </t>
  </si>
  <si>
    <t>Disposal of Waste/Trash/Recycling</t>
  </si>
  <si>
    <t>Contracts w/ Public Agencies</t>
  </si>
  <si>
    <t>Energy Efficiency Bonds (Transfers to Debt Service)</t>
  </si>
  <si>
    <t>Family/Community Engagement</t>
  </si>
  <si>
    <t>Grants</t>
  </si>
  <si>
    <t>Total Family/Community Engagement</t>
  </si>
  <si>
    <t xml:space="preserve">Instructional Support </t>
  </si>
  <si>
    <t>Total Grants</t>
  </si>
  <si>
    <t>TAP Department</t>
  </si>
  <si>
    <t>Grants Department</t>
  </si>
  <si>
    <t>Guards/Security</t>
  </si>
  <si>
    <t xml:space="preserve">Other Uses </t>
  </si>
  <si>
    <t>Space Rentals (AJ Parking Fees)</t>
  </si>
  <si>
    <t>Areas of Utlization</t>
  </si>
  <si>
    <t>Account</t>
  </si>
  <si>
    <t>Page #</t>
  </si>
  <si>
    <t>Budget Section</t>
  </si>
  <si>
    <t>Board of Ed - Administrative</t>
  </si>
  <si>
    <t>Administrative</t>
  </si>
  <si>
    <t>Office Of Superintendent</t>
  </si>
  <si>
    <t>Board of Ed - Other Self Insured Claims</t>
  </si>
  <si>
    <t>Debt and Other</t>
  </si>
  <si>
    <t>Board of Ed - Unemploymnt Compnsation</t>
  </si>
  <si>
    <t>Board of Ed - Trustee Commissions</t>
  </si>
  <si>
    <t>Board of Ed - Workers Compensation</t>
  </si>
  <si>
    <t>Other Uses - Debt Subsidy</t>
  </si>
  <si>
    <t>Instruction/Instructional Support</t>
  </si>
  <si>
    <t>Alternative Schools Instruction</t>
  </si>
  <si>
    <t>Alternative Schools Support</t>
  </si>
  <si>
    <t>Art Instruction</t>
  </si>
  <si>
    <t>Art Support</t>
  </si>
  <si>
    <t>Basic Elementary Instruction</t>
  </si>
  <si>
    <t>Basic Elementary Support</t>
  </si>
  <si>
    <t>Basic Middle Instruction</t>
  </si>
  <si>
    <t>Basic Middle Support</t>
  </si>
  <si>
    <t>Basic Secondary Instruction</t>
  </si>
  <si>
    <t>Basic Secondary Support</t>
  </si>
  <si>
    <t xml:space="preserve">Career &amp; Technical Instruction </t>
  </si>
  <si>
    <t xml:space="preserve">Career &amp; Technical Support </t>
  </si>
  <si>
    <t>Choral Music Instruction</t>
  </si>
  <si>
    <t>Choral Music Support</t>
  </si>
  <si>
    <t>Driver's Education Instruction</t>
  </si>
  <si>
    <t>Driver's Education Support</t>
  </si>
  <si>
    <t>Instrumental Music Instruction</t>
  </si>
  <si>
    <t>Instrumental Music Support</t>
  </si>
  <si>
    <t>Language Arts Instruction</t>
  </si>
  <si>
    <t>Language Arts Support</t>
  </si>
  <si>
    <t>Math Instruction</t>
  </si>
  <si>
    <t>Math Support</t>
  </si>
  <si>
    <t>Other Student Support/Pupil Personnel</t>
  </si>
  <si>
    <t>Other Uses - Case Manager</t>
  </si>
  <si>
    <t>Other Uses - Coordinated Health Svcs</t>
  </si>
  <si>
    <t>Other Uses - Family Resource Center</t>
  </si>
  <si>
    <t>Other Uses - Adult Education</t>
  </si>
  <si>
    <t>Other Uses - GED Testing</t>
  </si>
  <si>
    <t>Other Uses - Health Services</t>
  </si>
  <si>
    <t>Physical Education Instruction</t>
  </si>
  <si>
    <t>Physical Education Support</t>
  </si>
  <si>
    <t>Project Grad</t>
  </si>
  <si>
    <t>Science Instruction</t>
  </si>
  <si>
    <t>Science Support</t>
  </si>
  <si>
    <t>Section 504 Instruction</t>
  </si>
  <si>
    <t>Section 504 Support</t>
  </si>
  <si>
    <t>Social Studies Instruction</t>
  </si>
  <si>
    <t>Social Studies Support</t>
  </si>
  <si>
    <t>System-Wide Screening Instruction</t>
  </si>
  <si>
    <t>System-Wide Screening Support</t>
  </si>
  <si>
    <t>World Languages Instruction</t>
  </si>
  <si>
    <t>World Languages Support</t>
  </si>
  <si>
    <t>Board of Ed - Space Costs</t>
  </si>
  <si>
    <t>Subtotal</t>
  </si>
  <si>
    <t>Total TAP Department</t>
  </si>
  <si>
    <t>Debt &amp; Other</t>
  </si>
  <si>
    <t>Instruction/Support</t>
  </si>
  <si>
    <t>Operations / Maint</t>
  </si>
  <si>
    <t>72710 -</t>
  </si>
  <si>
    <t>General</t>
  </si>
  <si>
    <t>Purpose Fund</t>
  </si>
  <si>
    <t>ONE-YEAR CHANGE</t>
  </si>
  <si>
    <t>Note: See following pages for department and area detail.</t>
  </si>
  <si>
    <t>FY 08-09</t>
  </si>
  <si>
    <t>Space Costs (includes L&amp;N lease)</t>
  </si>
  <si>
    <t>Utilities</t>
  </si>
  <si>
    <t>Decrease</t>
  </si>
  <si>
    <t>Human Resources/ Security</t>
  </si>
  <si>
    <t>Human Resources / Security</t>
  </si>
  <si>
    <t>Budget Increase</t>
  </si>
  <si>
    <t xml:space="preserve"> % Increase</t>
  </si>
  <si>
    <r>
      <t xml:space="preserve">% </t>
    </r>
    <r>
      <rPr>
        <b/>
        <sz val="10"/>
        <rFont val="Arial"/>
        <family val="2"/>
      </rPr>
      <t>Received</t>
    </r>
  </si>
  <si>
    <r>
      <rPr>
        <b/>
        <sz val="10"/>
        <rFont val="Arial"/>
        <family val="2"/>
      </rPr>
      <t>of</t>
    </r>
    <r>
      <rPr>
        <b/>
        <sz val="11"/>
        <rFont val="Arial"/>
        <family val="2"/>
      </rPr>
      <t xml:space="preserve"> Total</t>
    </r>
  </si>
  <si>
    <t>Changes</t>
  </si>
  <si>
    <t>Since</t>
  </si>
  <si>
    <t>Total Gifted &amp; Talented</t>
  </si>
  <si>
    <t>Speech Pathologists</t>
  </si>
  <si>
    <t>Other Insurance</t>
  </si>
  <si>
    <t>Total Regular Instruction</t>
  </si>
  <si>
    <t>Magnet Department</t>
  </si>
  <si>
    <t>Total Magnet Department</t>
  </si>
  <si>
    <t>West Magnet</t>
  </si>
  <si>
    <t>Total West Magnet</t>
  </si>
  <si>
    <t>STEM Academy</t>
  </si>
  <si>
    <t>Total STEM Academy</t>
  </si>
  <si>
    <t>Total Magnet Schools</t>
  </si>
  <si>
    <t>Human Resources - Operations Division</t>
  </si>
  <si>
    <t>Total Human Resources - Operations Division</t>
  </si>
  <si>
    <t>Human Resources - Employee Benefits Division</t>
  </si>
  <si>
    <t>Total Human Resources - Employee Benefits Division</t>
  </si>
  <si>
    <t>Humanities</t>
  </si>
  <si>
    <t>Total Humanities</t>
  </si>
  <si>
    <t>Utilities (includes energy bonds/leases)</t>
  </si>
  <si>
    <r>
      <t xml:space="preserve">Utilities </t>
    </r>
    <r>
      <rPr>
        <b/>
        <sz val="10"/>
        <rFont val="Arial"/>
        <family val="2"/>
      </rPr>
      <t>(includes energy lease/bonds)</t>
    </r>
  </si>
  <si>
    <t xml:space="preserve"> Contracted Services</t>
  </si>
  <si>
    <t xml:space="preserve"> Personal Services</t>
  </si>
  <si>
    <t xml:space="preserve"> Employee Benefits</t>
  </si>
  <si>
    <t xml:space="preserve"> Supplies/ Materials</t>
  </si>
  <si>
    <t xml:space="preserve"> Other Charges</t>
  </si>
  <si>
    <t xml:space="preserve"> Capital Outlay</t>
  </si>
  <si>
    <t>Gifted &amp; Talented Instruction</t>
  </si>
  <si>
    <t>Gifted &amp; Talented Support</t>
  </si>
  <si>
    <t>MAJOR CATEGORIES OF SPENDING (Operating)</t>
  </si>
  <si>
    <t>Fulton Magnet</t>
  </si>
  <si>
    <t>Total Fulton Magnet</t>
  </si>
  <si>
    <t xml:space="preserve">  Early Literacy</t>
  </si>
  <si>
    <t>Other Uses - Early Literacy</t>
  </si>
  <si>
    <t>Other Uses - Summer Bridge</t>
  </si>
  <si>
    <t>Principals</t>
  </si>
  <si>
    <t>IT Personnel</t>
  </si>
  <si>
    <t>FY 13-14</t>
  </si>
  <si>
    <t xml:space="preserve">Humanities </t>
  </si>
  <si>
    <t>Other Contracted Services</t>
  </si>
  <si>
    <t>Excellence through Literacy</t>
  </si>
  <si>
    <t>Total Excellence through Literacy</t>
  </si>
  <si>
    <t>Public Affairs/ Printing Operations/ Business Partnerships</t>
  </si>
  <si>
    <t>Pub. Affairs/ Print. Operations/ Bus. Partnrshps</t>
  </si>
  <si>
    <t>Public Affairs/ Print. Operations/ Bus. Partnerships</t>
  </si>
  <si>
    <t>Security Officers</t>
  </si>
  <si>
    <t>% Change</t>
  </si>
  <si>
    <t>Adustments</t>
  </si>
  <si>
    <t>Space Costs (AJ Building; Knox Central)</t>
  </si>
  <si>
    <t>Other Professional Services (Student Activity Funds Audit)</t>
  </si>
  <si>
    <t>Board of Education Members</t>
  </si>
  <si>
    <t>Assistant Superintendent (Chief of Staff)</t>
  </si>
  <si>
    <t xml:space="preserve">Supervisors/Directors </t>
  </si>
  <si>
    <t>Secretaries/Administrative/Clerical</t>
  </si>
  <si>
    <t>Worker's Compensation Premiums</t>
  </si>
  <si>
    <t>Other Self-Insured Claims/ General Liability Charges</t>
  </si>
  <si>
    <t>Other (CLASS Membership)</t>
  </si>
  <si>
    <t>General Purpose</t>
  </si>
  <si>
    <t>Instructional Technology</t>
  </si>
  <si>
    <t>Total Instructional Technology</t>
  </si>
  <si>
    <t xml:space="preserve">Instructional Technology </t>
  </si>
  <si>
    <t>-</t>
  </si>
  <si>
    <t>Inservice/Staff Development</t>
  </si>
  <si>
    <t>Data Processing Personnel</t>
  </si>
  <si>
    <t>FY 2014 - 2015 Budget Workpaper</t>
  </si>
  <si>
    <t>FY 14-15</t>
  </si>
  <si>
    <t>FY 2014-2015 Proposed Budget (Department Summary)</t>
  </si>
  <si>
    <t>COMPARISON OF FY 13-14 APPROVED BUDGET vs FY 14-15 PROPOSED BUDGET</t>
  </si>
  <si>
    <t>FY 2014-2015 Proposed Budget</t>
  </si>
  <si>
    <t>COMPARISON OF FY 13-14 and FY 14-15</t>
  </si>
  <si>
    <t>In-Service/ Staff Development</t>
  </si>
  <si>
    <t>Stipends</t>
  </si>
  <si>
    <t>Maintenance Agreements</t>
  </si>
  <si>
    <t>Transfers (E-Rate contribution, Device costs)</t>
  </si>
  <si>
    <t>Office of Innovation  (NEW ACCOUNT)</t>
  </si>
  <si>
    <t>NEW A/C</t>
  </si>
  <si>
    <t>Dues/ Membership</t>
  </si>
  <si>
    <t>Postage/ Freight</t>
  </si>
  <si>
    <t xml:space="preserve">  Pre K (transition from Great Schools Partnership)</t>
  </si>
  <si>
    <t xml:space="preserve">  Summer Bridge (transition from Great Schools Partnership)</t>
  </si>
  <si>
    <t>Office of Innovation</t>
  </si>
  <si>
    <t>Other Professional Services (transferred to Personal Svcs)</t>
  </si>
  <si>
    <t>New AC</t>
  </si>
  <si>
    <t>Other Uses - Pre K</t>
  </si>
  <si>
    <t>SIX-YEAR HISTORY</t>
  </si>
  <si>
    <t>Instruction/Instr. Support</t>
  </si>
  <si>
    <t>% Increase</t>
  </si>
  <si>
    <t>% Received</t>
  </si>
  <si>
    <r>
      <t xml:space="preserve">of </t>
    </r>
    <r>
      <rPr>
        <b/>
        <sz val="11"/>
        <rFont val="Arial"/>
        <family val="2"/>
      </rPr>
      <t>Total</t>
    </r>
  </si>
  <si>
    <t>Knox County Schools General Purpose School Fund - AREAS OF UTILIZATION  FY14-15</t>
  </si>
  <si>
    <t>Maintenance Contracts (Student Activity Accounting software)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</si>
</sst>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5" formatCode="&quot;$&quot;#,##0_);\(&quot;$&quot;#,##0\)"/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7" formatCode="0.0%"/>
  </numFmts>
  <fonts count="53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2"/>
      <name val="Arial Narrow"/>
      <family val="2"/>
    </font>
    <font>
      <sz val="12"/>
      <name val="Arial Narrow"/>
      <family val="2"/>
    </font>
    <font>
      <b/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sz val="10"/>
      <color indexed="60"/>
      <name val="Arial"/>
      <family val="2"/>
    </font>
    <font>
      <b/>
      <sz val="10"/>
      <color indexed="60"/>
      <name val="Arial"/>
      <family val="2"/>
    </font>
    <font>
      <b/>
      <sz val="11"/>
      <color indexed="60"/>
      <name val="Arial"/>
      <family val="2"/>
    </font>
    <font>
      <b/>
      <sz val="10"/>
      <color indexed="10"/>
      <name val="Arial"/>
      <family val="2"/>
    </font>
    <font>
      <b/>
      <i/>
      <sz val="10"/>
      <color indexed="60"/>
      <name val="Arial"/>
      <family val="2"/>
    </font>
    <font>
      <b/>
      <sz val="11"/>
      <name val="Arial Narrow"/>
      <family val="2"/>
    </font>
    <font>
      <b/>
      <i/>
      <sz val="10"/>
      <name val="Arial"/>
      <family val="2"/>
    </font>
    <font>
      <b/>
      <sz val="14"/>
      <name val="Arial"/>
      <family val="2"/>
    </font>
    <font>
      <i/>
      <sz val="9"/>
      <name val="Arial"/>
      <family val="2"/>
    </font>
    <font>
      <b/>
      <sz val="10"/>
      <color indexed="60"/>
      <name val="Arial"/>
      <family val="2"/>
    </font>
    <font>
      <b/>
      <i/>
      <sz val="11"/>
      <name val="Arial"/>
      <family val="2"/>
    </font>
    <font>
      <b/>
      <i/>
      <sz val="11"/>
      <name val="Arial Narrow"/>
      <family val="2"/>
    </font>
    <font>
      <b/>
      <sz val="20"/>
      <name val="Arial"/>
      <family val="2"/>
    </font>
    <font>
      <b/>
      <i/>
      <sz val="9"/>
      <name val="Arial"/>
      <family val="2"/>
    </font>
    <font>
      <b/>
      <sz val="28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sz val="11"/>
      <color rgb="FFFF0000"/>
      <name val="Arial"/>
      <family val="2"/>
    </font>
    <font>
      <sz val="11"/>
      <color rgb="FFFF0000"/>
      <name val="Arial"/>
      <family val="2"/>
    </font>
    <font>
      <b/>
      <sz val="14"/>
      <color rgb="FFFF0000"/>
      <name val="Arial"/>
      <family val="2"/>
    </font>
    <font>
      <b/>
      <sz val="9"/>
      <color rgb="FFFF0000"/>
      <name val="Arial"/>
      <family val="2"/>
    </font>
    <font>
      <sz val="9"/>
      <color rgb="FFFF0000"/>
      <name val="Arial"/>
      <family val="2"/>
    </font>
    <font>
      <b/>
      <sz val="12"/>
      <color rgb="FF993300"/>
      <name val="Arial"/>
      <family val="2"/>
    </font>
    <font>
      <b/>
      <sz val="12"/>
      <color rgb="FFFF0000"/>
      <name val="Arial"/>
      <family val="2"/>
    </font>
    <font>
      <b/>
      <i/>
      <sz val="11"/>
      <color rgb="FFFF0000"/>
      <name val="Arial"/>
      <family val="2"/>
    </font>
    <font>
      <b/>
      <sz val="12"/>
      <color rgb="FFFF0000"/>
      <name val="Arial Narrow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10"/>
      <color rgb="FFC00000"/>
      <name val="Arial"/>
      <family val="2"/>
    </font>
    <font>
      <b/>
      <i/>
      <sz val="10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20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4" fillId="0" borderId="0" xfId="0" applyFont="1"/>
    <xf numFmtId="0" fontId="2" fillId="0" borderId="1" xfId="0" applyFont="1" applyBorder="1" applyAlignment="1">
      <alignment horizontal="center"/>
    </xf>
    <xf numFmtId="0" fontId="3" fillId="0" borderId="1" xfId="0" applyFont="1" applyBorder="1" applyAlignment="1"/>
    <xf numFmtId="0" fontId="3" fillId="0" borderId="1" xfId="0" applyFont="1" applyBorder="1" applyAlignment="1">
      <alignment horizontal="left"/>
    </xf>
    <xf numFmtId="0" fontId="0" fillId="0" borderId="1" xfId="0" applyBorder="1"/>
    <xf numFmtId="0" fontId="2" fillId="0" borderId="1" xfId="0" applyFont="1" applyBorder="1"/>
    <xf numFmtId="0" fontId="0" fillId="0" borderId="1" xfId="0" applyBorder="1" applyAlignment="1">
      <alignment horizontal="left"/>
    </xf>
    <xf numFmtId="0" fontId="4" fillId="0" borderId="1" xfId="0" applyFont="1" applyBorder="1"/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right"/>
    </xf>
    <xf numFmtId="0" fontId="3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3" fontId="4" fillId="0" borderId="1" xfId="0" applyNumberFormat="1" applyFont="1" applyBorder="1"/>
    <xf numFmtId="0" fontId="2" fillId="0" borderId="4" xfId="0" applyFont="1" applyBorder="1" applyAlignment="1">
      <alignment horizontal="center"/>
    </xf>
    <xf numFmtId="0" fontId="7" fillId="0" borderId="0" xfId="0" applyFont="1"/>
    <xf numFmtId="0" fontId="7" fillId="0" borderId="1" xfId="0" applyFont="1" applyBorder="1"/>
    <xf numFmtId="0" fontId="0" fillId="0" borderId="4" xfId="0" applyBorder="1"/>
    <xf numFmtId="0" fontId="3" fillId="0" borderId="1" xfId="0" applyFont="1" applyBorder="1"/>
    <xf numFmtId="0" fontId="8" fillId="0" borderId="1" xfId="0" applyFont="1" applyBorder="1" applyAlignment="1">
      <alignment horizontal="left"/>
    </xf>
    <xf numFmtId="0" fontId="8" fillId="0" borderId="1" xfId="0" applyFont="1" applyBorder="1"/>
    <xf numFmtId="0" fontId="11" fillId="0" borderId="1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9" fillId="0" borderId="1" xfId="0" applyFont="1" applyBorder="1" applyAlignment="1">
      <alignment horizontal="right"/>
    </xf>
    <xf numFmtId="0" fontId="8" fillId="0" borderId="1" xfId="0" applyFont="1" applyBorder="1" applyAlignment="1">
      <alignment horizontal="right"/>
    </xf>
    <xf numFmtId="0" fontId="0" fillId="0" borderId="1" xfId="0" applyBorder="1" applyAlignment="1">
      <alignment horizontal="right"/>
    </xf>
    <xf numFmtId="0" fontId="10" fillId="0" borderId="1" xfId="0" applyFont="1" applyBorder="1"/>
    <xf numFmtId="0" fontId="0" fillId="0" borderId="0" xfId="0" applyAlignment="1">
      <alignment horizontal="center"/>
    </xf>
    <xf numFmtId="0" fontId="12" fillId="0" borderId="0" xfId="0" applyFont="1"/>
    <xf numFmtId="0" fontId="0" fillId="0" borderId="0" xfId="0" applyAlignment="1">
      <alignment horizontal="left"/>
    </xf>
    <xf numFmtId="0" fontId="15" fillId="0" borderId="0" xfId="0" applyFont="1"/>
    <xf numFmtId="0" fontId="1" fillId="0" borderId="1" xfId="0" applyFont="1" applyBorder="1" applyAlignment="1">
      <alignment horizontal="left"/>
    </xf>
    <xf numFmtId="0" fontId="13" fillId="0" borderId="1" xfId="0" applyFont="1" applyBorder="1" applyAlignment="1">
      <alignment horizontal="left"/>
    </xf>
    <xf numFmtId="0" fontId="14" fillId="0" borderId="1" xfId="0" applyFont="1" applyBorder="1" applyAlignment="1">
      <alignment horizontal="left"/>
    </xf>
    <xf numFmtId="0" fontId="1" fillId="0" borderId="1" xfId="0" applyFont="1" applyBorder="1"/>
    <xf numFmtId="0" fontId="13" fillId="0" borderId="1" xfId="0" applyFont="1" applyBorder="1" applyAlignment="1">
      <alignment horizontal="center"/>
    </xf>
    <xf numFmtId="0" fontId="14" fillId="0" borderId="1" xfId="0" applyFont="1" applyBorder="1"/>
    <xf numFmtId="0" fontId="7" fillId="0" borderId="1" xfId="0" applyFont="1" applyBorder="1" applyAlignment="1">
      <alignment horizontal="left"/>
    </xf>
    <xf numFmtId="0" fontId="13" fillId="0" borderId="1" xfId="0" applyFont="1" applyBorder="1"/>
    <xf numFmtId="0" fontId="14" fillId="0" borderId="1" xfId="0" applyFont="1" applyBorder="1" applyAlignment="1">
      <alignment horizontal="right"/>
    </xf>
    <xf numFmtId="0" fontId="14" fillId="0" borderId="1" xfId="0" applyFont="1" applyBorder="1" applyAlignment="1"/>
    <xf numFmtId="3" fontId="1" fillId="0" borderId="1" xfId="0" applyNumberFormat="1" applyFont="1" applyBorder="1"/>
    <xf numFmtId="3" fontId="13" fillId="0" borderId="1" xfId="0" applyNumberFormat="1" applyFont="1" applyBorder="1" applyAlignment="1">
      <alignment horizontal="center"/>
    </xf>
    <xf numFmtId="3" fontId="14" fillId="0" borderId="1" xfId="0" applyNumberFormat="1" applyFont="1" applyBorder="1"/>
    <xf numFmtId="3" fontId="8" fillId="0" borderId="1" xfId="0" applyNumberFormat="1" applyFont="1" applyBorder="1"/>
    <xf numFmtId="0" fontId="13" fillId="0" borderId="1" xfId="0" applyFont="1" applyBorder="1" applyAlignment="1">
      <alignment horizontal="right"/>
    </xf>
    <xf numFmtId="0" fontId="16" fillId="0" borderId="0" xfId="0" applyFont="1"/>
    <xf numFmtId="0" fontId="1" fillId="0" borderId="1" xfId="0" applyFont="1" applyFill="1" applyBorder="1"/>
    <xf numFmtId="37" fontId="0" fillId="0" borderId="0" xfId="0" applyNumberFormat="1"/>
    <xf numFmtId="0" fontId="0" fillId="0" borderId="1" xfId="0" applyBorder="1" applyAlignment="1">
      <alignment horizontal="center"/>
    </xf>
    <xf numFmtId="0" fontId="17" fillId="0" borderId="1" xfId="0" applyFont="1" applyBorder="1"/>
    <xf numFmtId="0" fontId="8" fillId="0" borderId="0" xfId="0" applyFont="1"/>
    <xf numFmtId="0" fontId="5" fillId="0" borderId="5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7" fillId="0" borderId="4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37" fontId="0" fillId="0" borderId="1" xfId="0" applyNumberFormat="1" applyBorder="1"/>
    <xf numFmtId="37" fontId="2" fillId="0" borderId="1" xfId="0" applyNumberFormat="1" applyFont="1" applyBorder="1"/>
    <xf numFmtId="37" fontId="3" fillId="0" borderId="1" xfId="0" applyNumberFormat="1" applyFont="1" applyBorder="1"/>
    <xf numFmtId="37" fontId="7" fillId="0" borderId="1" xfId="0" applyNumberFormat="1" applyFont="1" applyBorder="1"/>
    <xf numFmtId="37" fontId="2" fillId="0" borderId="1" xfId="0" applyNumberFormat="1" applyFont="1" applyBorder="1" applyAlignment="1">
      <alignment horizontal="center"/>
    </xf>
    <xf numFmtId="37" fontId="3" fillId="0" borderId="4" xfId="0" applyNumberFormat="1" applyFont="1" applyBorder="1"/>
    <xf numFmtId="37" fontId="4" fillId="0" borderId="1" xfId="0" applyNumberFormat="1" applyFont="1" applyBorder="1"/>
    <xf numFmtId="0" fontId="1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43" fontId="14" fillId="0" borderId="1" xfId="1" applyFont="1" applyBorder="1" applyAlignment="1">
      <alignment horizontal="center"/>
    </xf>
    <xf numFmtId="37" fontId="0" fillId="0" borderId="1" xfId="0" applyNumberFormat="1" applyBorder="1" applyAlignment="1">
      <alignment horizontal="center"/>
    </xf>
    <xf numFmtId="0" fontId="4" fillId="0" borderId="1" xfId="0" applyFont="1" applyBorder="1" applyAlignment="1">
      <alignment horizontal="left"/>
    </xf>
    <xf numFmtId="37" fontId="7" fillId="0" borderId="1" xfId="0" applyNumberFormat="1" applyFont="1" applyBorder="1" applyAlignment="1">
      <alignment horizontal="right"/>
    </xf>
    <xf numFmtId="0" fontId="7" fillId="0" borderId="4" xfId="0" applyFont="1" applyBorder="1" applyAlignment="1">
      <alignment horizontal="left"/>
    </xf>
    <xf numFmtId="37" fontId="3" fillId="0" borderId="1" xfId="0" applyNumberFormat="1" applyFont="1" applyBorder="1" applyAlignment="1">
      <alignment horizontal="right"/>
    </xf>
    <xf numFmtId="37" fontId="2" fillId="0" borderId="1" xfId="0" applyNumberFormat="1" applyFont="1" applyBorder="1" applyAlignment="1">
      <alignment horizontal="right"/>
    </xf>
    <xf numFmtId="37" fontId="14" fillId="0" borderId="1" xfId="0" applyNumberFormat="1" applyFont="1" applyBorder="1"/>
    <xf numFmtId="0" fontId="7" fillId="0" borderId="1" xfId="0" applyFont="1" applyBorder="1" applyAlignment="1"/>
    <xf numFmtId="37" fontId="8" fillId="0" borderId="1" xfId="0" applyNumberFormat="1" applyFont="1" applyBorder="1"/>
    <xf numFmtId="37" fontId="3" fillId="0" borderId="1" xfId="0" applyNumberFormat="1" applyFont="1" applyBorder="1" applyAlignment="1">
      <alignment horizontal="left"/>
    </xf>
    <xf numFmtId="0" fontId="4" fillId="0" borderId="1" xfId="0" applyFont="1" applyFill="1" applyBorder="1" applyAlignment="1">
      <alignment horizontal="left"/>
    </xf>
    <xf numFmtId="37" fontId="4" fillId="0" borderId="1" xfId="0" applyNumberFormat="1" applyFont="1" applyBorder="1" applyAlignment="1">
      <alignment horizontal="right"/>
    </xf>
    <xf numFmtId="0" fontId="0" fillId="0" borderId="0" xfId="0" applyBorder="1"/>
    <xf numFmtId="0" fontId="5" fillId="0" borderId="5" xfId="0" applyFont="1" applyFill="1" applyBorder="1" applyAlignment="1">
      <alignment horizontal="left"/>
    </xf>
    <xf numFmtId="0" fontId="4" fillId="0" borderId="0" xfId="0" applyFont="1" applyBorder="1"/>
    <xf numFmtId="0" fontId="20" fillId="0" borderId="0" xfId="0" applyFont="1"/>
    <xf numFmtId="37" fontId="0" fillId="0" borderId="1" xfId="0" applyNumberFormat="1" applyBorder="1" applyAlignment="1"/>
    <xf numFmtId="0" fontId="19" fillId="0" borderId="0" xfId="0" applyFont="1"/>
    <xf numFmtId="0" fontId="5" fillId="0" borderId="0" xfId="0" applyNumberFormat="1" applyFont="1" applyBorder="1" applyAlignment="1">
      <alignment horizontal="center"/>
    </xf>
    <xf numFmtId="0" fontId="5" fillId="0" borderId="6" xfId="0" applyNumberFormat="1" applyFont="1" applyBorder="1" applyAlignment="1">
      <alignment horizontal="center"/>
    </xf>
    <xf numFmtId="37" fontId="2" fillId="0" borderId="7" xfId="0" applyNumberFormat="1" applyFont="1" applyBorder="1" applyAlignment="1">
      <alignment horizontal="center"/>
    </xf>
    <xf numFmtId="37" fontId="2" fillId="0" borderId="8" xfId="0" applyNumberFormat="1" applyFont="1" applyBorder="1" applyAlignment="1">
      <alignment horizontal="center"/>
    </xf>
    <xf numFmtId="37" fontId="2" fillId="0" borderId="9" xfId="0" applyNumberFormat="1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37" fontId="2" fillId="0" borderId="0" xfId="0" applyNumberFormat="1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3" fontId="0" fillId="0" borderId="4" xfId="0" applyNumberFormat="1" applyBorder="1"/>
    <xf numFmtId="0" fontId="20" fillId="0" borderId="4" xfId="0" applyFont="1" applyBorder="1"/>
    <xf numFmtId="0" fontId="0" fillId="0" borderId="12" xfId="0" applyBorder="1"/>
    <xf numFmtId="37" fontId="3" fillId="0" borderId="1" xfId="0" applyNumberFormat="1" applyFont="1" applyBorder="1" applyAlignment="1"/>
    <xf numFmtId="0" fontId="7" fillId="0" borderId="4" xfId="0" applyFont="1" applyBorder="1"/>
    <xf numFmtId="0" fontId="0" fillId="0" borderId="0" xfId="0" applyFill="1"/>
    <xf numFmtId="0" fontId="3" fillId="0" borderId="0" xfId="0" applyFont="1" applyFill="1" applyAlignment="1">
      <alignment horizontal="right"/>
    </xf>
    <xf numFmtId="37" fontId="0" fillId="0" borderId="0" xfId="0" applyNumberFormat="1" applyFill="1"/>
    <xf numFmtId="0" fontId="0" fillId="0" borderId="0" xfId="0" applyFill="1" applyAlignment="1">
      <alignment horizontal="right"/>
    </xf>
    <xf numFmtId="0" fontId="3" fillId="0" borderId="0" xfId="0" applyFont="1" applyFill="1"/>
    <xf numFmtId="37" fontId="2" fillId="0" borderId="0" xfId="0" applyNumberFormat="1" applyFont="1" applyFill="1"/>
    <xf numFmtId="37" fontId="3" fillId="0" borderId="0" xfId="0" applyNumberFormat="1" applyFont="1" applyFill="1"/>
    <xf numFmtId="0" fontId="7" fillId="0" borderId="0" xfId="0" applyFont="1" applyFill="1"/>
    <xf numFmtId="37" fontId="7" fillId="0" borderId="0" xfId="0" applyNumberFormat="1" applyFont="1" applyFill="1"/>
    <xf numFmtId="3" fontId="3" fillId="0" borderId="1" xfId="0" applyNumberFormat="1" applyFont="1" applyBorder="1"/>
    <xf numFmtId="0" fontId="0" fillId="0" borderId="4" xfId="0" applyFill="1" applyBorder="1"/>
    <xf numFmtId="37" fontId="0" fillId="0" borderId="1" xfId="0" applyNumberFormat="1" applyFill="1" applyBorder="1"/>
    <xf numFmtId="37" fontId="2" fillId="0" borderId="1" xfId="0" applyNumberFormat="1" applyFont="1" applyFill="1" applyBorder="1"/>
    <xf numFmtId="37" fontId="0" fillId="0" borderId="12" xfId="0" applyNumberFormat="1" applyFill="1" applyBorder="1"/>
    <xf numFmtId="37" fontId="35" fillId="0" borderId="0" xfId="0" applyNumberFormat="1" applyFont="1" applyFill="1"/>
    <xf numFmtId="0" fontId="4" fillId="0" borderId="11" xfId="0" applyFont="1" applyBorder="1"/>
    <xf numFmtId="0" fontId="4" fillId="0" borderId="13" xfId="0" applyFont="1" applyBorder="1"/>
    <xf numFmtId="37" fontId="4" fillId="0" borderId="13" xfId="0" applyNumberFormat="1" applyFont="1" applyBorder="1"/>
    <xf numFmtId="37" fontId="4" fillId="0" borderId="10" xfId="0" applyNumberFormat="1" applyFont="1" applyBorder="1"/>
    <xf numFmtId="3" fontId="0" fillId="0" borderId="0" xfId="0" applyNumberFormat="1"/>
    <xf numFmtId="0" fontId="24" fillId="0" borderId="0" xfId="0" applyFont="1" applyAlignment="1">
      <alignment horizontal="center"/>
    </xf>
    <xf numFmtId="167" fontId="21" fillId="0" borderId="0" xfId="0" applyNumberFormat="1" applyFont="1"/>
    <xf numFmtId="0" fontId="12" fillId="0" borderId="0" xfId="0" applyFont="1" applyBorder="1"/>
    <xf numFmtId="0" fontId="25" fillId="0" borderId="0" xfId="0" applyNumberFormat="1" applyFont="1" applyBorder="1" applyAlignment="1">
      <alignment horizontal="center"/>
    </xf>
    <xf numFmtId="167" fontId="22" fillId="0" borderId="0" xfId="0" applyNumberFormat="1" applyFont="1"/>
    <xf numFmtId="0" fontId="25" fillId="0" borderId="0" xfId="0" applyFont="1" applyBorder="1" applyAlignment="1">
      <alignment horizontal="center"/>
    </xf>
    <xf numFmtId="167" fontId="22" fillId="0" borderId="0" xfId="0" applyNumberFormat="1" applyFont="1" applyAlignment="1">
      <alignment horizontal="center"/>
    </xf>
    <xf numFmtId="3" fontId="25" fillId="0" borderId="3" xfId="0" applyNumberFormat="1" applyFont="1" applyBorder="1" applyAlignment="1">
      <alignment horizontal="center"/>
    </xf>
    <xf numFmtId="3" fontId="25" fillId="0" borderId="3" xfId="0" applyNumberFormat="1" applyFont="1" applyBorder="1" applyAlignment="1">
      <alignment horizontal="left"/>
    </xf>
    <xf numFmtId="0" fontId="25" fillId="0" borderId="3" xfId="0" applyNumberFormat="1" applyFont="1" applyBorder="1" applyAlignment="1">
      <alignment horizontal="center"/>
    </xf>
    <xf numFmtId="167" fontId="22" fillId="0" borderId="3" xfId="0" applyNumberFormat="1" applyFont="1" applyBorder="1" applyAlignment="1">
      <alignment horizontal="center"/>
    </xf>
    <xf numFmtId="0" fontId="3" fillId="2" borderId="0" xfId="0" applyFont="1" applyFill="1"/>
    <xf numFmtId="38" fontId="20" fillId="0" borderId="0" xfId="0" applyNumberFormat="1" applyFont="1" applyFill="1"/>
    <xf numFmtId="38" fontId="2" fillId="0" borderId="0" xfId="0" applyNumberFormat="1" applyFont="1" applyFill="1" applyAlignment="1">
      <alignment horizontal="center"/>
    </xf>
    <xf numFmtId="38" fontId="7" fillId="0" borderId="0" xfId="0" applyNumberFormat="1" applyFont="1" applyFill="1" applyAlignment="1">
      <alignment horizontal="center"/>
    </xf>
    <xf numFmtId="38" fontId="36" fillId="0" borderId="0" xfId="0" applyNumberFormat="1" applyFont="1" applyFill="1"/>
    <xf numFmtId="38" fontId="0" fillId="0" borderId="0" xfId="0" applyNumberFormat="1" applyFill="1"/>
    <xf numFmtId="10" fontId="2" fillId="0" borderId="0" xfId="0" applyNumberFormat="1" applyFont="1" applyAlignment="1">
      <alignment horizontal="center"/>
    </xf>
    <xf numFmtId="38" fontId="2" fillId="0" borderId="0" xfId="0" applyNumberFormat="1" applyFont="1" applyAlignment="1">
      <alignment horizontal="center"/>
    </xf>
    <xf numFmtId="0" fontId="0" fillId="2" borderId="0" xfId="0" applyFill="1"/>
    <xf numFmtId="38" fontId="2" fillId="0" borderId="14" xfId="0" applyNumberFormat="1" applyFont="1" applyBorder="1" applyAlignment="1">
      <alignment horizontal="center"/>
    </xf>
    <xf numFmtId="38" fontId="2" fillId="0" borderId="15" xfId="0" applyNumberFormat="1" applyFont="1" applyBorder="1" applyAlignment="1">
      <alignment horizontal="center"/>
    </xf>
    <xf numFmtId="0" fontId="27" fillId="0" borderId="0" xfId="0" applyFont="1" applyFill="1" applyAlignment="1">
      <alignment horizontal="center"/>
    </xf>
    <xf numFmtId="41" fontId="0" fillId="0" borderId="0" xfId="0" applyNumberFormat="1" applyFill="1" applyBorder="1"/>
    <xf numFmtId="41" fontId="0" fillId="0" borderId="8" xfId="0" applyNumberFormat="1" applyFill="1" applyBorder="1"/>
    <xf numFmtId="41" fontId="3" fillId="2" borderId="0" xfId="0" applyNumberFormat="1" applyFont="1" applyFill="1" applyAlignment="1">
      <alignment horizontal="center"/>
    </xf>
    <xf numFmtId="0" fontId="4" fillId="0" borderId="5" xfId="0" applyFont="1" applyFill="1" applyBorder="1"/>
    <xf numFmtId="41" fontId="2" fillId="0" borderId="0" xfId="0" applyNumberFormat="1" applyFont="1" applyFill="1" applyBorder="1" applyAlignment="1">
      <alignment horizontal="center"/>
    </xf>
    <xf numFmtId="41" fontId="2" fillId="0" borderId="8" xfId="0" applyNumberFormat="1" applyFont="1" applyFill="1" applyBorder="1" applyAlignment="1">
      <alignment horizontal="center"/>
    </xf>
    <xf numFmtId="0" fontId="2" fillId="0" borderId="5" xfId="0" applyFont="1" applyFill="1" applyBorder="1"/>
    <xf numFmtId="0" fontId="17" fillId="0" borderId="0" xfId="0" applyFont="1" applyBorder="1" applyAlignment="1">
      <alignment horizontal="center"/>
    </xf>
    <xf numFmtId="37" fontId="12" fillId="0" borderId="0" xfId="0" applyNumberFormat="1" applyFont="1"/>
    <xf numFmtId="38" fontId="12" fillId="0" borderId="0" xfId="0" applyNumberFormat="1" applyFont="1" applyFill="1"/>
    <xf numFmtId="38" fontId="7" fillId="0" borderId="0" xfId="0" applyNumberFormat="1" applyFont="1" applyAlignment="1">
      <alignment horizontal="center"/>
    </xf>
    <xf numFmtId="37" fontId="12" fillId="0" borderId="16" xfId="0" applyNumberFormat="1" applyFont="1" applyBorder="1"/>
    <xf numFmtId="38" fontId="12" fillId="0" borderId="16" xfId="0" applyNumberFormat="1" applyFont="1" applyFill="1" applyBorder="1"/>
    <xf numFmtId="37" fontId="7" fillId="0" borderId="0" xfId="0" applyNumberFormat="1" applyFont="1" applyBorder="1"/>
    <xf numFmtId="38" fontId="7" fillId="0" borderId="0" xfId="0" applyNumberFormat="1" applyFont="1" applyBorder="1"/>
    <xf numFmtId="167" fontId="0" fillId="2" borderId="0" xfId="0" applyNumberFormat="1" applyFill="1" applyAlignment="1">
      <alignment horizontal="center"/>
    </xf>
    <xf numFmtId="0" fontId="37" fillId="0" borderId="0" xfId="0" applyFont="1"/>
    <xf numFmtId="0" fontId="7" fillId="0" borderId="17" xfId="0" applyFont="1" applyFill="1" applyBorder="1"/>
    <xf numFmtId="0" fontId="7" fillId="0" borderId="6" xfId="0" applyFont="1" applyFill="1" applyBorder="1"/>
    <xf numFmtId="41" fontId="0" fillId="0" borderId="7" xfId="0" applyNumberFormat="1" applyFill="1" applyBorder="1"/>
    <xf numFmtId="5" fontId="0" fillId="2" borderId="0" xfId="0" applyNumberFormat="1" applyFill="1"/>
    <xf numFmtId="0" fontId="12" fillId="0" borderId="16" xfId="0" applyFont="1" applyBorder="1"/>
    <xf numFmtId="38" fontId="7" fillId="0" borderId="16" xfId="0" applyNumberFormat="1" applyFont="1" applyBorder="1" applyAlignment="1">
      <alignment horizontal="center"/>
    </xf>
    <xf numFmtId="0" fontId="12" fillId="0" borderId="18" xfId="0" applyFont="1" applyBorder="1"/>
    <xf numFmtId="38" fontId="7" fillId="0" borderId="18" xfId="0" applyNumberFormat="1" applyFont="1" applyBorder="1" applyAlignment="1">
      <alignment horizontal="center"/>
    </xf>
    <xf numFmtId="37" fontId="12" fillId="0" borderId="18" xfId="0" applyNumberFormat="1" applyFont="1" applyBorder="1"/>
    <xf numFmtId="38" fontId="12" fillId="0" borderId="18" xfId="0" applyNumberFormat="1" applyFont="1" applyFill="1" applyBorder="1"/>
    <xf numFmtId="0" fontId="12" fillId="0" borderId="19" xfId="0" applyFont="1" applyBorder="1"/>
    <xf numFmtId="37" fontId="12" fillId="0" borderId="19" xfId="0" applyNumberFormat="1" applyFont="1" applyBorder="1"/>
    <xf numFmtId="38" fontId="12" fillId="0" borderId="19" xfId="0" applyNumberFormat="1" applyFont="1" applyFill="1" applyBorder="1"/>
    <xf numFmtId="38" fontId="7" fillId="0" borderId="19" xfId="0" applyNumberFormat="1" applyFont="1" applyBorder="1" applyAlignment="1">
      <alignment horizontal="center"/>
    </xf>
    <xf numFmtId="37" fontId="12" fillId="0" borderId="0" xfId="0" applyNumberFormat="1" applyFont="1" applyBorder="1"/>
    <xf numFmtId="38" fontId="12" fillId="0" borderId="0" xfId="0" applyNumberFormat="1" applyFont="1" applyFill="1" applyBorder="1"/>
    <xf numFmtId="38" fontId="7" fillId="0" borderId="0" xfId="0" applyNumberFormat="1" applyFont="1" applyBorder="1" applyAlignment="1">
      <alignment horizontal="center"/>
    </xf>
    <xf numFmtId="10" fontId="0" fillId="0" borderId="0" xfId="0" applyNumberFormat="1"/>
    <xf numFmtId="37" fontId="2" fillId="0" borderId="0" xfId="0" applyNumberFormat="1" applyFont="1" applyAlignment="1">
      <alignment horizontal="center"/>
    </xf>
    <xf numFmtId="37" fontId="2" fillId="0" borderId="3" xfId="0" applyNumberFormat="1" applyFont="1" applyBorder="1" applyAlignment="1">
      <alignment horizontal="center"/>
    </xf>
    <xf numFmtId="37" fontId="27" fillId="0" borderId="0" xfId="0" applyNumberFormat="1" applyFont="1" applyFill="1" applyAlignment="1">
      <alignment horizontal="center"/>
    </xf>
    <xf numFmtId="37" fontId="7" fillId="0" borderId="0" xfId="0" applyNumberFormat="1" applyFont="1" applyAlignment="1">
      <alignment horizontal="center"/>
    </xf>
    <xf numFmtId="37" fontId="7" fillId="0" borderId="18" xfId="0" applyNumberFormat="1" applyFont="1" applyBorder="1" applyAlignment="1">
      <alignment horizontal="center"/>
    </xf>
    <xf numFmtId="38" fontId="0" fillId="2" borderId="7" xfId="0" applyNumberFormat="1" applyFill="1" applyBorder="1"/>
    <xf numFmtId="38" fontId="2" fillId="0" borderId="0" xfId="0" applyNumberFormat="1" applyFont="1" applyBorder="1" applyAlignment="1">
      <alignment horizontal="center"/>
    </xf>
    <xf numFmtId="0" fontId="0" fillId="0" borderId="3" xfId="0" applyBorder="1"/>
    <xf numFmtId="0" fontId="4" fillId="0" borderId="0" xfId="0" applyFont="1" applyFill="1" applyBorder="1" applyAlignment="1">
      <alignment horizontal="center"/>
    </xf>
    <xf numFmtId="41" fontId="2" fillId="0" borderId="3" xfId="0" applyNumberFormat="1" applyFont="1" applyFill="1" applyBorder="1" applyAlignment="1">
      <alignment horizontal="center"/>
    </xf>
    <xf numFmtId="41" fontId="2" fillId="0" borderId="9" xfId="0" applyNumberFormat="1" applyFont="1" applyFill="1" applyBorder="1" applyAlignment="1">
      <alignment horizontal="center"/>
    </xf>
    <xf numFmtId="38" fontId="28" fillId="2" borderId="9" xfId="0" applyNumberFormat="1" applyFont="1" applyFill="1" applyBorder="1"/>
    <xf numFmtId="38" fontId="0" fillId="3" borderId="7" xfId="0" applyNumberFormat="1" applyFill="1" applyBorder="1" applyAlignment="1">
      <alignment vertical="top"/>
    </xf>
    <xf numFmtId="37" fontId="7" fillId="4" borderId="16" xfId="0" applyNumberFormat="1" applyFont="1" applyFill="1" applyBorder="1" applyAlignment="1">
      <alignment horizontal="center"/>
    </xf>
    <xf numFmtId="0" fontId="12" fillId="4" borderId="16" xfId="0" applyFont="1" applyFill="1" applyBorder="1"/>
    <xf numFmtId="38" fontId="7" fillId="4" borderId="16" xfId="0" applyNumberFormat="1" applyFont="1" applyFill="1" applyBorder="1" applyAlignment="1">
      <alignment horizontal="center"/>
    </xf>
    <xf numFmtId="38" fontId="0" fillId="0" borderId="0" xfId="0" applyNumberFormat="1" applyFill="1" applyBorder="1"/>
    <xf numFmtId="0" fontId="14" fillId="0" borderId="1" xfId="0" applyNumberFormat="1" applyFont="1" applyBorder="1" applyAlignment="1">
      <alignment horizontal="center"/>
    </xf>
    <xf numFmtId="0" fontId="1" fillId="0" borderId="1" xfId="0" applyNumberFormat="1" applyFont="1" applyBorder="1" applyAlignment="1">
      <alignment horizontal="center"/>
    </xf>
    <xf numFmtId="0" fontId="13" fillId="0" borderId="1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/>
    </xf>
    <xf numFmtId="38" fontId="7" fillId="0" borderId="18" xfId="0" applyNumberFormat="1" applyFont="1" applyFill="1" applyBorder="1" applyAlignment="1">
      <alignment horizontal="center"/>
    </xf>
    <xf numFmtId="38" fontId="20" fillId="0" borderId="1" xfId="0" applyNumberFormat="1" applyFont="1" applyBorder="1"/>
    <xf numFmtId="38" fontId="3" fillId="0" borderId="1" xfId="0" applyNumberFormat="1" applyFont="1" applyBorder="1"/>
    <xf numFmtId="38" fontId="2" fillId="0" borderId="1" xfId="0" applyNumberFormat="1" applyFont="1" applyBorder="1"/>
    <xf numFmtId="38" fontId="4" fillId="0" borderId="1" xfId="0" applyNumberFormat="1" applyFont="1" applyBorder="1"/>
    <xf numFmtId="38" fontId="20" fillId="0" borderId="0" xfId="0" applyNumberFormat="1" applyFont="1"/>
    <xf numFmtId="38" fontId="2" fillId="0" borderId="6" xfId="0" applyNumberFormat="1" applyFont="1" applyBorder="1" applyAlignment="1">
      <alignment horizontal="center"/>
    </xf>
    <xf numFmtId="38" fontId="2" fillId="0" borderId="3" xfId="0" applyNumberFormat="1" applyFont="1" applyBorder="1" applyAlignment="1">
      <alignment horizontal="center"/>
    </xf>
    <xf numFmtId="38" fontId="20" fillId="0" borderId="4" xfId="0" applyNumberFormat="1" applyFont="1" applyBorder="1"/>
    <xf numFmtId="38" fontId="7" fillId="0" borderId="1" xfId="0" applyNumberFormat="1" applyFont="1" applyBorder="1"/>
    <xf numFmtId="38" fontId="3" fillId="0" borderId="0" xfId="0" applyNumberFormat="1" applyFont="1"/>
    <xf numFmtId="38" fontId="3" fillId="0" borderId="4" xfId="0" applyNumberFormat="1" applyFont="1" applyBorder="1"/>
    <xf numFmtId="38" fontId="3" fillId="0" borderId="1" xfId="0" applyNumberFormat="1" applyFont="1" applyBorder="1" applyAlignment="1">
      <alignment horizontal="center"/>
    </xf>
    <xf numFmtId="38" fontId="2" fillId="0" borderId="4" xfId="0" applyNumberFormat="1" applyFont="1" applyBorder="1" applyAlignment="1">
      <alignment horizontal="center"/>
    </xf>
    <xf numFmtId="38" fontId="7" fillId="0" borderId="1" xfId="0" applyNumberFormat="1" applyFont="1" applyBorder="1" applyAlignment="1">
      <alignment horizontal="right"/>
    </xf>
    <xf numFmtId="38" fontId="3" fillId="0" borderId="1" xfId="0" applyNumberFormat="1" applyFont="1" applyBorder="1" applyAlignment="1"/>
    <xf numFmtId="38" fontId="2" fillId="0" borderId="1" xfId="0" applyNumberFormat="1" applyFont="1" applyBorder="1" applyAlignment="1">
      <alignment horizontal="center"/>
    </xf>
    <xf numFmtId="38" fontId="3" fillId="0" borderId="12" xfId="0" applyNumberFormat="1" applyFont="1" applyBorder="1"/>
    <xf numFmtId="38" fontId="2" fillId="0" borderId="1" xfId="0" applyNumberFormat="1" applyFont="1" applyFill="1" applyBorder="1"/>
    <xf numFmtId="38" fontId="3" fillId="0" borderId="1" xfId="0" applyNumberFormat="1" applyFont="1" applyBorder="1" applyAlignment="1">
      <alignment horizontal="right"/>
    </xf>
    <xf numFmtId="38" fontId="2" fillId="0" borderId="1" xfId="0" applyNumberFormat="1" applyFont="1" applyBorder="1" applyAlignment="1">
      <alignment horizontal="right"/>
    </xf>
    <xf numFmtId="38" fontId="3" fillId="0" borderId="1" xfId="0" applyNumberFormat="1" applyFont="1" applyBorder="1" applyAlignment="1">
      <alignment horizontal="left"/>
    </xf>
    <xf numFmtId="38" fontId="4" fillId="0" borderId="1" xfId="0" applyNumberFormat="1" applyFont="1" applyBorder="1" applyAlignment="1">
      <alignment horizontal="right"/>
    </xf>
    <xf numFmtId="10" fontId="38" fillId="0" borderId="0" xfId="0" applyNumberFormat="1" applyFont="1" applyAlignment="1">
      <alignment horizontal="center"/>
    </xf>
    <xf numFmtId="10" fontId="39" fillId="0" borderId="0" xfId="0" applyNumberFormat="1" applyFont="1" applyAlignment="1">
      <alignment horizontal="center"/>
    </xf>
    <xf numFmtId="10" fontId="37" fillId="0" borderId="0" xfId="0" applyNumberFormat="1" applyFont="1" applyAlignment="1">
      <alignment horizontal="center"/>
    </xf>
    <xf numFmtId="10" fontId="40" fillId="0" borderId="0" xfId="0" applyNumberFormat="1" applyFont="1" applyAlignment="1">
      <alignment horizontal="center"/>
    </xf>
    <xf numFmtId="0" fontId="41" fillId="0" borderId="0" xfId="0" applyFont="1" applyFill="1" applyAlignment="1">
      <alignment horizontal="center"/>
    </xf>
    <xf numFmtId="41" fontId="37" fillId="0" borderId="6" xfId="0" applyNumberFormat="1" applyFont="1" applyFill="1" applyBorder="1"/>
    <xf numFmtId="41" fontId="38" fillId="0" borderId="0" xfId="0" applyNumberFormat="1" applyFont="1" applyFill="1" applyBorder="1" applyAlignment="1">
      <alignment horizontal="center"/>
    </xf>
    <xf numFmtId="41" fontId="42" fillId="0" borderId="0" xfId="0" applyNumberFormat="1" applyFont="1" applyFill="1" applyBorder="1" applyAlignment="1">
      <alignment horizontal="center"/>
    </xf>
    <xf numFmtId="41" fontId="43" fillId="0" borderId="0" xfId="0" applyNumberFormat="1" applyFont="1" applyFill="1" applyBorder="1"/>
    <xf numFmtId="38" fontId="38" fillId="0" borderId="0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7" fillId="0" borderId="0" xfId="0" applyFont="1" applyBorder="1" applyAlignment="1">
      <alignment horizontal="left"/>
    </xf>
    <xf numFmtId="3" fontId="0" fillId="0" borderId="0" xfId="0" applyNumberFormat="1" applyBorder="1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/>
    <xf numFmtId="37" fontId="3" fillId="0" borderId="0" xfId="0" applyNumberFormat="1" applyFont="1" applyFill="1" applyBorder="1"/>
    <xf numFmtId="37" fontId="3" fillId="0" borderId="0" xfId="0" applyNumberFormat="1" applyFont="1" applyFill="1" applyBorder="1" applyAlignment="1">
      <alignment horizontal="right"/>
    </xf>
    <xf numFmtId="0" fontId="3" fillId="2" borderId="0" xfId="0" applyFont="1" applyFill="1" applyBorder="1" applyAlignment="1">
      <alignment horizontal="center"/>
    </xf>
    <xf numFmtId="0" fontId="2" fillId="2" borderId="0" xfId="0" applyFont="1" applyFill="1"/>
    <xf numFmtId="37" fontId="30" fillId="2" borderId="0" xfId="0" applyNumberFormat="1" applyFont="1" applyFill="1" applyBorder="1"/>
    <xf numFmtId="37" fontId="30" fillId="2" borderId="0" xfId="0" applyNumberFormat="1" applyFont="1" applyFill="1" applyBorder="1" applyAlignment="1">
      <alignment horizontal="right"/>
    </xf>
    <xf numFmtId="0" fontId="3" fillId="2" borderId="0" xfId="0" applyFont="1" applyFill="1" applyBorder="1"/>
    <xf numFmtId="0" fontId="3" fillId="0" borderId="0" xfId="0" applyFont="1" applyFill="1" applyBorder="1" applyAlignment="1">
      <alignment horizontal="left"/>
    </xf>
    <xf numFmtId="0" fontId="3" fillId="2" borderId="0" xfId="0" applyFont="1" applyFill="1" applyBorder="1" applyAlignment="1">
      <alignment horizontal="left"/>
    </xf>
    <xf numFmtId="0" fontId="2" fillId="2" borderId="0" xfId="0" applyFont="1" applyFill="1" applyBorder="1"/>
    <xf numFmtId="0" fontId="0" fillId="0" borderId="0" xfId="0" applyBorder="1" applyAlignment="1">
      <alignment horizontal="center"/>
    </xf>
    <xf numFmtId="37" fontId="0" fillId="0" borderId="0" xfId="0" applyNumberFormat="1" applyBorder="1" applyAlignment="1">
      <alignment horizontal="center"/>
    </xf>
    <xf numFmtId="5" fontId="7" fillId="0" borderId="0" xfId="0" applyNumberFormat="1" applyFont="1" applyBorder="1"/>
    <xf numFmtId="37" fontId="4" fillId="0" borderId="0" xfId="0" applyNumberFormat="1" applyFont="1" applyBorder="1"/>
    <xf numFmtId="37" fontId="3" fillId="0" borderId="0" xfId="0" applyNumberFormat="1" applyFont="1" applyBorder="1"/>
    <xf numFmtId="38" fontId="3" fillId="0" borderId="0" xfId="0" applyNumberFormat="1" applyFont="1" applyBorder="1"/>
    <xf numFmtId="0" fontId="7" fillId="0" borderId="0" xfId="0" applyFont="1" applyBorder="1"/>
    <xf numFmtId="0" fontId="3" fillId="0" borderId="0" xfId="0" applyFont="1" applyBorder="1" applyAlignment="1">
      <alignment horizontal="center"/>
    </xf>
    <xf numFmtId="5" fontId="4" fillId="0" borderId="0" xfId="0" applyNumberFormat="1" applyFont="1" applyBorder="1"/>
    <xf numFmtId="0" fontId="0" fillId="0" borderId="0" xfId="0" applyFill="1" applyBorder="1"/>
    <xf numFmtId="38" fontId="8" fillId="0" borderId="0" xfId="0" applyNumberFormat="1" applyFont="1" applyFill="1" applyBorder="1"/>
    <xf numFmtId="0" fontId="28" fillId="0" borderId="0" xfId="0" applyFont="1" applyFill="1" applyBorder="1"/>
    <xf numFmtId="0" fontId="3" fillId="0" borderId="0" xfId="0" quotePrefix="1" applyFont="1" applyFill="1" applyBorder="1" applyAlignment="1">
      <alignment horizontal="center"/>
    </xf>
    <xf numFmtId="0" fontId="27" fillId="0" borderId="0" xfId="0" applyFont="1"/>
    <xf numFmtId="167" fontId="0" fillId="0" borderId="0" xfId="0" applyNumberFormat="1"/>
    <xf numFmtId="0" fontId="17" fillId="0" borderId="0" xfId="0" applyFont="1" applyBorder="1"/>
    <xf numFmtId="0" fontId="4" fillId="0" borderId="0" xfId="0" applyNumberFormat="1" applyFont="1" applyBorder="1" applyAlignment="1">
      <alignment horizontal="center"/>
    </xf>
    <xf numFmtId="3" fontId="4" fillId="0" borderId="3" xfId="0" applyNumberFormat="1" applyFont="1" applyBorder="1" applyAlignment="1">
      <alignment horizontal="left"/>
    </xf>
    <xf numFmtId="0" fontId="4" fillId="0" borderId="3" xfId="0" applyNumberFormat="1" applyFont="1" applyBorder="1" applyAlignment="1">
      <alignment horizontal="center"/>
    </xf>
    <xf numFmtId="42" fontId="4" fillId="0" borderId="0" xfId="0" applyNumberFormat="1" applyFont="1"/>
    <xf numFmtId="167" fontId="4" fillId="0" borderId="0" xfId="0" applyNumberFormat="1" applyFont="1" applyBorder="1" applyAlignment="1">
      <alignment horizontal="center"/>
    </xf>
    <xf numFmtId="41" fontId="4" fillId="0" borderId="0" xfId="0" applyNumberFormat="1" applyFont="1"/>
    <xf numFmtId="167" fontId="4" fillId="0" borderId="0" xfId="0" applyNumberFormat="1" applyFont="1" applyAlignment="1">
      <alignment horizontal="center"/>
    </xf>
    <xf numFmtId="41" fontId="4" fillId="0" borderId="0" xfId="0" applyNumberFormat="1" applyFont="1" applyBorder="1"/>
    <xf numFmtId="42" fontId="4" fillId="0" borderId="20" xfId="0" applyNumberFormat="1" applyFont="1" applyBorder="1"/>
    <xf numFmtId="38" fontId="4" fillId="0" borderId="1" xfId="0" applyNumberFormat="1" applyFont="1" applyFill="1" applyBorder="1"/>
    <xf numFmtId="38" fontId="3" fillId="0" borderId="0" xfId="0" applyNumberFormat="1" applyFont="1" applyFill="1"/>
    <xf numFmtId="38" fontId="4" fillId="0" borderId="13" xfId="0" applyNumberFormat="1" applyFont="1" applyBorder="1"/>
    <xf numFmtId="38" fontId="4" fillId="0" borderId="0" xfId="0" applyNumberFormat="1" applyFont="1" applyBorder="1" applyAlignment="1">
      <alignment horizontal="center"/>
    </xf>
    <xf numFmtId="38" fontId="4" fillId="0" borderId="3" xfId="0" applyNumberFormat="1" applyFont="1" applyBorder="1" applyAlignment="1">
      <alignment horizontal="center"/>
    </xf>
    <xf numFmtId="38" fontId="0" fillId="0" borderId="0" xfId="0" applyNumberFormat="1"/>
    <xf numFmtId="38" fontId="44" fillId="0" borderId="0" xfId="0" applyNumberFormat="1" applyFont="1"/>
    <xf numFmtId="38" fontId="3" fillId="0" borderId="0" xfId="0" applyNumberFormat="1" applyFont="1" applyFill="1" applyBorder="1"/>
    <xf numFmtId="38" fontId="30" fillId="2" borderId="0" xfId="0" applyNumberFormat="1" applyFont="1" applyFill="1" applyBorder="1"/>
    <xf numFmtId="38" fontId="3" fillId="0" borderId="0" xfId="0" applyNumberFormat="1" applyFont="1" applyFill="1" applyBorder="1" applyAlignment="1">
      <alignment horizontal="right"/>
    </xf>
    <xf numFmtId="38" fontId="4" fillId="0" borderId="0" xfId="0" applyNumberFormat="1" applyFont="1" applyBorder="1"/>
    <xf numFmtId="38" fontId="12" fillId="0" borderId="18" xfId="0" applyNumberFormat="1" applyFont="1" applyBorder="1"/>
    <xf numFmtId="0" fontId="31" fillId="0" borderId="0" xfId="0" applyNumberFormat="1" applyFont="1" applyBorder="1" applyAlignment="1">
      <alignment horizontal="center"/>
    </xf>
    <xf numFmtId="10" fontId="7" fillId="0" borderId="0" xfId="0" applyNumberFormat="1" applyFont="1" applyBorder="1" applyAlignment="1">
      <alignment horizontal="center"/>
    </xf>
    <xf numFmtId="167" fontId="4" fillId="0" borderId="20" xfId="0" applyNumberFormat="1" applyFont="1" applyBorder="1" applyAlignment="1">
      <alignment horizontal="center"/>
    </xf>
    <xf numFmtId="37" fontId="7" fillId="0" borderId="0" xfId="0" applyNumberFormat="1" applyFont="1" applyFill="1" applyBorder="1"/>
    <xf numFmtId="167" fontId="45" fillId="0" borderId="16" xfId="0" applyNumberFormat="1" applyFont="1" applyBorder="1" applyAlignment="1">
      <alignment horizontal="center"/>
    </xf>
    <xf numFmtId="10" fontId="3" fillId="0" borderId="0" xfId="0" applyNumberFormat="1" applyFont="1" applyAlignment="1">
      <alignment horizontal="center"/>
    </xf>
    <xf numFmtId="37" fontId="0" fillId="0" borderId="4" xfId="0" applyNumberFormat="1" applyFill="1" applyBorder="1"/>
    <xf numFmtId="37" fontId="4" fillId="0" borderId="1" xfId="0" applyNumberFormat="1" applyFont="1" applyFill="1" applyBorder="1"/>
    <xf numFmtId="167" fontId="45" fillId="0" borderId="0" xfId="0" applyNumberFormat="1" applyFont="1" applyBorder="1" applyAlignment="1">
      <alignment horizontal="center"/>
    </xf>
    <xf numFmtId="167" fontId="0" fillId="0" borderId="0" xfId="0" applyNumberFormat="1" applyAlignment="1">
      <alignment horizontal="center"/>
    </xf>
    <xf numFmtId="0" fontId="7" fillId="0" borderId="0" xfId="0" applyFont="1" applyAlignment="1">
      <alignment horizontal="center"/>
    </xf>
    <xf numFmtId="10" fontId="39" fillId="0" borderId="3" xfId="0" applyNumberFormat="1" applyFont="1" applyBorder="1" applyAlignment="1">
      <alignment horizontal="center"/>
    </xf>
    <xf numFmtId="37" fontId="39" fillId="0" borderId="3" xfId="0" applyNumberFormat="1" applyFont="1" applyBorder="1" applyAlignment="1">
      <alignment horizontal="center"/>
    </xf>
    <xf numFmtId="0" fontId="7" fillId="0" borderId="0" xfId="0" applyFont="1" applyFill="1" applyBorder="1" applyAlignment="1">
      <alignment horizontal="center" vertical="center"/>
    </xf>
    <xf numFmtId="38" fontId="37" fillId="0" borderId="0" xfId="0" applyNumberFormat="1" applyFont="1"/>
    <xf numFmtId="0" fontId="0" fillId="0" borderId="16" xfId="0" applyBorder="1" applyAlignment="1">
      <alignment horizontal="center"/>
    </xf>
    <xf numFmtId="0" fontId="0" fillId="0" borderId="18" xfId="0" applyBorder="1" applyAlignment="1">
      <alignment horizontal="center"/>
    </xf>
    <xf numFmtId="167" fontId="26" fillId="2" borderId="21" xfId="0" applyNumberFormat="1" applyFont="1" applyFill="1" applyBorder="1" applyAlignment="1">
      <alignment horizontal="right"/>
    </xf>
    <xf numFmtId="167" fontId="37" fillId="0" borderId="0" xfId="0" applyNumberFormat="1" applyFont="1" applyAlignment="1">
      <alignment horizontal="center"/>
    </xf>
    <xf numFmtId="167" fontId="37" fillId="0" borderId="0" xfId="0" applyNumberFormat="1" applyFont="1"/>
    <xf numFmtId="41" fontId="9" fillId="0" borderId="3" xfId="0" applyNumberFormat="1" applyFont="1" applyFill="1" applyBorder="1" applyAlignment="1">
      <alignment horizontal="center"/>
    </xf>
    <xf numFmtId="167" fontId="30" fillId="0" borderId="0" xfId="0" applyNumberFormat="1" applyFont="1" applyFill="1" applyBorder="1" applyAlignment="1">
      <alignment vertical="top"/>
    </xf>
    <xf numFmtId="167" fontId="30" fillId="0" borderId="8" xfId="0" applyNumberFormat="1" applyFont="1" applyFill="1" applyBorder="1" applyAlignment="1">
      <alignment vertical="top"/>
    </xf>
    <xf numFmtId="167" fontId="46" fillId="0" borderId="0" xfId="0" applyNumberFormat="1" applyFont="1" applyFill="1" applyBorder="1" applyAlignment="1">
      <alignment vertical="top"/>
    </xf>
    <xf numFmtId="41" fontId="0" fillId="0" borderId="0" xfId="0" applyNumberFormat="1"/>
    <xf numFmtId="41" fontId="37" fillId="0" borderId="0" xfId="0" applyNumberFormat="1" applyFont="1"/>
    <xf numFmtId="41" fontId="4" fillId="0" borderId="16" xfId="0" applyNumberFormat="1" applyFont="1" applyBorder="1"/>
    <xf numFmtId="41" fontId="45" fillId="0" borderId="0" xfId="0" applyNumberFormat="1" applyFont="1" applyBorder="1"/>
    <xf numFmtId="41" fontId="45" fillId="0" borderId="16" xfId="0" applyNumberFormat="1" applyFont="1" applyBorder="1"/>
    <xf numFmtId="0" fontId="33" fillId="0" borderId="0" xfId="0" applyFont="1"/>
    <xf numFmtId="0" fontId="31" fillId="3" borderId="0" xfId="0" applyNumberFormat="1" applyFont="1" applyFill="1" applyBorder="1" applyAlignment="1">
      <alignment horizontal="center"/>
    </xf>
    <xf numFmtId="0" fontId="25" fillId="3" borderId="0" xfId="0" applyNumberFormat="1" applyFont="1" applyFill="1" applyBorder="1" applyAlignment="1">
      <alignment horizontal="center"/>
    </xf>
    <xf numFmtId="0" fontId="5" fillId="3" borderId="0" xfId="0" applyNumberFormat="1" applyFont="1" applyFill="1" applyBorder="1" applyAlignment="1">
      <alignment horizontal="center"/>
    </xf>
    <xf numFmtId="0" fontId="5" fillId="3" borderId="3" xfId="0" applyNumberFormat="1" applyFont="1" applyFill="1" applyBorder="1" applyAlignment="1">
      <alignment horizontal="center"/>
    </xf>
    <xf numFmtId="0" fontId="2" fillId="3" borderId="0" xfId="0" applyFont="1" applyFill="1"/>
    <xf numFmtId="38" fontId="7" fillId="3" borderId="16" xfId="0" applyNumberFormat="1" applyFont="1" applyFill="1" applyBorder="1"/>
    <xf numFmtId="38" fontId="7" fillId="3" borderId="0" xfId="0" applyNumberFormat="1" applyFont="1" applyFill="1"/>
    <xf numFmtId="167" fontId="19" fillId="0" borderId="0" xfId="0" applyNumberFormat="1" applyFont="1" applyFill="1" applyBorder="1" applyAlignment="1">
      <alignment vertical="top"/>
    </xf>
    <xf numFmtId="167" fontId="26" fillId="0" borderId="8" xfId="0" applyNumberFormat="1" applyFont="1" applyFill="1" applyBorder="1" applyAlignment="1">
      <alignment vertical="top"/>
    </xf>
    <xf numFmtId="0" fontId="9" fillId="0" borderId="5" xfId="0" applyFont="1" applyFill="1" applyBorder="1" applyAlignment="1">
      <alignment vertical="top"/>
    </xf>
    <xf numFmtId="5" fontId="7" fillId="3" borderId="22" xfId="0" applyNumberFormat="1" applyFont="1" applyFill="1" applyBorder="1"/>
    <xf numFmtId="0" fontId="4" fillId="0" borderId="0" xfId="0" applyNumberFormat="1" applyFont="1" applyFill="1" applyBorder="1" applyAlignment="1">
      <alignment horizontal="center"/>
    </xf>
    <xf numFmtId="38" fontId="7" fillId="3" borderId="18" xfId="0" applyNumberFormat="1" applyFont="1" applyFill="1" applyBorder="1"/>
    <xf numFmtId="42" fontId="7" fillId="3" borderId="0" xfId="0" applyNumberFormat="1" applyFont="1" applyFill="1" applyBorder="1"/>
    <xf numFmtId="42" fontId="7" fillId="0" borderId="8" xfId="0" applyNumberFormat="1" applyFont="1" applyFill="1" applyBorder="1"/>
    <xf numFmtId="42" fontId="12" fillId="0" borderId="0" xfId="0" applyNumberFormat="1" applyFont="1" applyFill="1" applyBorder="1"/>
    <xf numFmtId="167" fontId="3" fillId="0" borderId="0" xfId="0" applyNumberFormat="1" applyFont="1" applyAlignment="1">
      <alignment horizontal="center"/>
    </xf>
    <xf numFmtId="0" fontId="0" fillId="0" borderId="2" xfId="0" applyBorder="1"/>
    <xf numFmtId="42" fontId="0" fillId="0" borderId="9" xfId="0" applyNumberFormat="1" applyBorder="1"/>
    <xf numFmtId="167" fontId="3" fillId="0" borderId="0" xfId="0" applyNumberFormat="1" applyFont="1"/>
    <xf numFmtId="0" fontId="3" fillId="0" borderId="0" xfId="0" applyFont="1" applyBorder="1"/>
    <xf numFmtId="10" fontId="37" fillId="0" borderId="0" xfId="0" applyNumberFormat="1" applyFont="1" applyAlignment="1">
      <alignment horizontal="left"/>
    </xf>
    <xf numFmtId="0" fontId="30" fillId="0" borderId="0" xfId="0" applyFont="1" applyFill="1" applyBorder="1" applyAlignment="1">
      <alignment horizontal="center" vertical="center"/>
    </xf>
    <xf numFmtId="5" fontId="7" fillId="0" borderId="0" xfId="0" applyNumberFormat="1" applyFont="1" applyFill="1" applyBorder="1"/>
    <xf numFmtId="10" fontId="26" fillId="0" borderId="0" xfId="0" applyNumberFormat="1" applyFont="1" applyFill="1" applyBorder="1" applyAlignment="1">
      <alignment horizontal="right"/>
    </xf>
    <xf numFmtId="38" fontId="7" fillId="0" borderId="3" xfId="0" applyNumberFormat="1" applyFont="1" applyFill="1" applyBorder="1" applyAlignment="1">
      <alignment horizontal="center"/>
    </xf>
    <xf numFmtId="10" fontId="2" fillId="0" borderId="3" xfId="0" applyNumberFormat="1" applyFont="1" applyBorder="1" applyAlignment="1">
      <alignment horizontal="center"/>
    </xf>
    <xf numFmtId="0" fontId="0" fillId="5" borderId="0" xfId="0" applyFill="1"/>
    <xf numFmtId="38" fontId="0" fillId="5" borderId="0" xfId="0" applyNumberFormat="1" applyFill="1"/>
    <xf numFmtId="10" fontId="0" fillId="5" borderId="0" xfId="0" applyNumberFormat="1" applyFill="1"/>
    <xf numFmtId="42" fontId="0" fillId="0" borderId="0" xfId="0" applyNumberFormat="1"/>
    <xf numFmtId="10" fontId="26" fillId="0" borderId="0" xfId="0" applyNumberFormat="1" applyFont="1" applyFill="1" applyBorder="1" applyAlignment="1">
      <alignment vertical="top"/>
    </xf>
    <xf numFmtId="10" fontId="37" fillId="0" borderId="0" xfId="0" applyNumberFormat="1" applyFont="1" applyBorder="1" applyAlignment="1">
      <alignment horizontal="center"/>
    </xf>
    <xf numFmtId="42" fontId="7" fillId="0" borderId="0" xfId="0" applyNumberFormat="1" applyFont="1" applyFill="1" applyBorder="1"/>
    <xf numFmtId="42" fontId="7" fillId="0" borderId="0" xfId="0" applyNumberFormat="1" applyFont="1" applyBorder="1"/>
    <xf numFmtId="167" fontId="4" fillId="0" borderId="16" xfId="0" applyNumberFormat="1" applyFont="1" applyBorder="1" applyAlignment="1">
      <alignment horizontal="center"/>
    </xf>
    <xf numFmtId="38" fontId="5" fillId="0" borderId="6" xfId="0" applyNumberFormat="1" applyFont="1" applyBorder="1" applyAlignment="1">
      <alignment horizontal="center"/>
    </xf>
    <xf numFmtId="37" fontId="5" fillId="0" borderId="7" xfId="0" applyNumberFormat="1" applyFont="1" applyFill="1" applyBorder="1" applyAlignment="1">
      <alignment horizontal="center"/>
    </xf>
    <xf numFmtId="38" fontId="47" fillId="0" borderId="0" xfId="0" applyNumberFormat="1" applyFont="1" applyBorder="1" applyAlignment="1">
      <alignment horizontal="center"/>
    </xf>
    <xf numFmtId="37" fontId="5" fillId="0" borderId="8" xfId="0" applyNumberFormat="1" applyFont="1" applyFill="1" applyBorder="1" applyAlignment="1">
      <alignment horizontal="center"/>
    </xf>
    <xf numFmtId="38" fontId="5" fillId="0" borderId="3" xfId="0" applyNumberFormat="1" applyFont="1" applyBorder="1" applyAlignment="1">
      <alignment horizontal="center"/>
    </xf>
    <xf numFmtId="37" fontId="5" fillId="0" borderId="9" xfId="0" applyNumberFormat="1" applyFont="1" applyFill="1" applyBorder="1" applyAlignment="1">
      <alignment horizontal="center"/>
    </xf>
    <xf numFmtId="37" fontId="5" fillId="0" borderId="7" xfId="0" applyNumberFormat="1" applyFont="1" applyBorder="1" applyAlignment="1">
      <alignment horizontal="center"/>
    </xf>
    <xf numFmtId="37" fontId="5" fillId="0" borderId="8" xfId="0" applyNumberFormat="1" applyFont="1" applyBorder="1" applyAlignment="1">
      <alignment horizontal="center"/>
    </xf>
    <xf numFmtId="37" fontId="5" fillId="0" borderId="9" xfId="0" applyNumberFormat="1" applyFont="1" applyBorder="1" applyAlignment="1">
      <alignment horizontal="center"/>
    </xf>
    <xf numFmtId="38" fontId="48" fillId="0" borderId="1" xfId="0" applyNumberFormat="1" applyFont="1" applyBorder="1"/>
    <xf numFmtId="38" fontId="49" fillId="0" borderId="1" xfId="0" applyNumberFormat="1" applyFont="1" applyBorder="1"/>
    <xf numFmtId="38" fontId="36" fillId="0" borderId="1" xfId="0" applyNumberFormat="1" applyFont="1" applyBorder="1"/>
    <xf numFmtId="38" fontId="50" fillId="0" borderId="1" xfId="0" applyNumberFormat="1" applyFont="1" applyBorder="1"/>
    <xf numFmtId="38" fontId="0" fillId="0" borderId="1" xfId="0" applyNumberFormat="1" applyBorder="1"/>
    <xf numFmtId="5" fontId="0" fillId="0" borderId="0" xfId="0" applyNumberFormat="1"/>
    <xf numFmtId="38" fontId="0" fillId="0" borderId="1" xfId="0" applyNumberFormat="1" applyBorder="1" applyAlignment="1">
      <alignment horizontal="center"/>
    </xf>
    <xf numFmtId="38" fontId="3" fillId="0" borderId="0" xfId="0" applyNumberFormat="1" applyFont="1" applyFill="1" applyAlignment="1">
      <alignment horizontal="right"/>
    </xf>
    <xf numFmtId="10" fontId="7" fillId="0" borderId="3" xfId="0" applyNumberFormat="1" applyFont="1" applyBorder="1" applyAlignment="1">
      <alignment horizontal="center"/>
    </xf>
    <xf numFmtId="167" fontId="19" fillId="2" borderId="0" xfId="0" applyNumberFormat="1" applyFont="1" applyFill="1" applyBorder="1"/>
    <xf numFmtId="167" fontId="26" fillId="0" borderId="0" xfId="0" applyNumberFormat="1" applyFont="1" applyFill="1" applyBorder="1" applyAlignment="1">
      <alignment horizontal="right"/>
    </xf>
    <xf numFmtId="167" fontId="12" fillId="0" borderId="16" xfId="0" applyNumberFormat="1" applyFont="1" applyBorder="1" applyAlignment="1">
      <alignment horizontal="center"/>
    </xf>
    <xf numFmtId="167" fontId="40" fillId="0" borderId="16" xfId="0" applyNumberFormat="1" applyFont="1" applyBorder="1" applyAlignment="1">
      <alignment horizontal="center"/>
    </xf>
    <xf numFmtId="167" fontId="12" fillId="0" borderId="18" xfId="0" applyNumberFormat="1" applyFont="1" applyBorder="1" applyAlignment="1">
      <alignment horizontal="center"/>
    </xf>
    <xf numFmtId="167" fontId="7" fillId="0" borderId="0" xfId="0" applyNumberFormat="1" applyFont="1" applyBorder="1" applyAlignment="1">
      <alignment horizontal="center"/>
    </xf>
    <xf numFmtId="41" fontId="12" fillId="0" borderId="0" xfId="0" applyNumberFormat="1" applyFont="1" applyFill="1" applyBorder="1"/>
    <xf numFmtId="41" fontId="7" fillId="0" borderId="8" xfId="0" applyNumberFormat="1" applyFont="1" applyFill="1" applyBorder="1"/>
    <xf numFmtId="0" fontId="2" fillId="0" borderId="5" xfId="0" applyFont="1" applyFill="1" applyBorder="1" applyAlignment="1">
      <alignment vertical="top"/>
    </xf>
    <xf numFmtId="0" fontId="51" fillId="0" borderId="0" xfId="0" applyFont="1"/>
    <xf numFmtId="167" fontId="52" fillId="2" borderId="21" xfId="0" applyNumberFormat="1" applyFont="1" applyFill="1" applyBorder="1" applyAlignment="1">
      <alignment horizontal="right"/>
    </xf>
    <xf numFmtId="167" fontId="45" fillId="0" borderId="0" xfId="0" applyNumberFormat="1" applyFont="1" applyAlignment="1">
      <alignment horizontal="center"/>
    </xf>
    <xf numFmtId="41" fontId="45" fillId="0" borderId="0" xfId="0" applyNumberFormat="1" applyFont="1"/>
    <xf numFmtId="0" fontId="7" fillId="2" borderId="11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34" fillId="6" borderId="11" xfId="0" applyFont="1" applyFill="1" applyBorder="1" applyAlignment="1">
      <alignment horizontal="center"/>
    </xf>
    <xf numFmtId="0" fontId="34" fillId="6" borderId="13" xfId="0" applyFont="1" applyFill="1" applyBorder="1" applyAlignment="1">
      <alignment horizontal="center"/>
    </xf>
    <xf numFmtId="0" fontId="34" fillId="6" borderId="10" xfId="0" applyFont="1" applyFill="1" applyBorder="1" applyAlignment="1">
      <alignment horizontal="center"/>
    </xf>
    <xf numFmtId="37" fontId="2" fillId="0" borderId="3" xfId="0" applyNumberFormat="1" applyFont="1" applyBorder="1" applyAlignment="1">
      <alignment horizontal="left"/>
    </xf>
    <xf numFmtId="0" fontId="32" fillId="2" borderId="11" xfId="0" applyFont="1" applyFill="1" applyBorder="1" applyAlignment="1">
      <alignment horizontal="center"/>
    </xf>
    <xf numFmtId="0" fontId="32" fillId="2" borderId="13" xfId="0" applyFont="1" applyFill="1" applyBorder="1" applyAlignment="1">
      <alignment horizontal="center"/>
    </xf>
    <xf numFmtId="0" fontId="32" fillId="2" borderId="10" xfId="0" applyFont="1" applyFill="1" applyBorder="1" applyAlignment="1">
      <alignment horizontal="center"/>
    </xf>
    <xf numFmtId="0" fontId="26" fillId="0" borderId="6" xfId="0" applyFont="1" applyBorder="1" applyAlignment="1">
      <alignment horizontal="center"/>
    </xf>
    <xf numFmtId="38" fontId="2" fillId="0" borderId="11" xfId="0" applyNumberFormat="1" applyFont="1" applyBorder="1" applyAlignment="1">
      <alignment horizontal="center"/>
    </xf>
    <xf numFmtId="38" fontId="2" fillId="0" borderId="10" xfId="0" applyNumberFormat="1" applyFont="1" applyBorder="1" applyAlignment="1">
      <alignment horizontal="center"/>
    </xf>
    <xf numFmtId="38" fontId="2" fillId="0" borderId="5" xfId="0" applyNumberFormat="1" applyFont="1" applyBorder="1" applyAlignment="1">
      <alignment horizontal="center"/>
    </xf>
    <xf numFmtId="38" fontId="2" fillId="0" borderId="8" xfId="0" applyNumberFormat="1" applyFont="1" applyBorder="1" applyAlignment="1">
      <alignment horizontal="center"/>
    </xf>
    <xf numFmtId="38" fontId="2" fillId="0" borderId="23" xfId="0" applyNumberFormat="1" applyFont="1" applyBorder="1" applyAlignment="1">
      <alignment horizontal="center"/>
    </xf>
    <xf numFmtId="38" fontId="2" fillId="0" borderId="24" xfId="0" applyNumberFormat="1" applyFont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27" fillId="7" borderId="17" xfId="0" applyFont="1" applyFill="1" applyBorder="1" applyAlignment="1">
      <alignment horizontal="center"/>
    </xf>
    <xf numFmtId="0" fontId="27" fillId="7" borderId="6" xfId="0" applyFont="1" applyFill="1" applyBorder="1" applyAlignment="1">
      <alignment horizontal="center"/>
    </xf>
    <xf numFmtId="0" fontId="27" fillId="7" borderId="7" xfId="0" applyFont="1" applyFill="1" applyBorder="1" applyAlignment="1">
      <alignment horizontal="center"/>
    </xf>
    <xf numFmtId="0" fontId="27" fillId="7" borderId="2" xfId="0" applyFont="1" applyFill="1" applyBorder="1" applyAlignment="1">
      <alignment horizontal="center"/>
    </xf>
    <xf numFmtId="0" fontId="27" fillId="7" borderId="3" xfId="0" applyFont="1" applyFill="1" applyBorder="1" applyAlignment="1">
      <alignment horizontal="center"/>
    </xf>
    <xf numFmtId="0" fontId="27" fillId="7" borderId="9" xfId="0" applyFont="1" applyFill="1" applyBorder="1" applyAlignment="1">
      <alignment horizontal="center"/>
    </xf>
    <xf numFmtId="0" fontId="5" fillId="0" borderId="17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5" fillId="0" borderId="25" xfId="0" applyFont="1" applyBorder="1" applyAlignment="1">
      <alignment horizontal="left"/>
    </xf>
    <xf numFmtId="0" fontId="6" fillId="0" borderId="26" xfId="0" applyFont="1" applyBorder="1" applyAlignment="1">
      <alignment horizontal="left"/>
    </xf>
    <xf numFmtId="0" fontId="5" fillId="0" borderId="11" xfId="0" applyFont="1" applyBorder="1" applyAlignment="1">
      <alignment horizontal="left"/>
    </xf>
    <xf numFmtId="0" fontId="6" fillId="0" borderId="10" xfId="0" applyFont="1" applyBorder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worksheet" Target="worksheets/sheet76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styles" Target="styles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theme" Target="theme/theme1.xml"/><Relationship Id="rId8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FY14-15  % Increase </a:t>
            </a:r>
            <a:r>
              <a:rPr lang="en-US">
                <a:solidFill>
                  <a:srgbClr val="FF0000"/>
                </a:solidFill>
              </a:rPr>
              <a:t>(Decrease) </a:t>
            </a:r>
            <a:r>
              <a:rPr lang="en-US"/>
              <a:t>within each Area</a:t>
            </a:r>
          </a:p>
        </c:rich>
      </c:tx>
      <c:layout>
        <c:manualLayout>
          <c:xMode val="edge"/>
          <c:yMode val="edge"/>
          <c:x val="0.22295493571778105"/>
          <c:y val="7.9356212548903089E-3"/>
        </c:manualLayout>
      </c:layout>
      <c:overlay val="1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2421502190274997"/>
          <c:y val="7.4283761699598855E-2"/>
          <c:w val="0.88844228430170413"/>
          <c:h val="0.68329579557272324"/>
        </c:manualLayout>
      </c:layout>
      <c:bar3DChart>
        <c:barDir val="col"/>
        <c:grouping val="clustered"/>
        <c:varyColors val="1"/>
        <c:ser>
          <c:idx val="0"/>
          <c:order val="0"/>
          <c:spPr>
            <a:solidFill>
              <a:schemeClr val="accent1"/>
            </a:solidFill>
          </c:spPr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</c:dPt>
          <c:dPt>
            <c:idx val="4"/>
            <c:invertIfNegative val="0"/>
            <c:bubble3D val="0"/>
          </c:dPt>
          <c:dPt>
            <c:idx val="5"/>
            <c:invertIfNegative val="0"/>
            <c:bubble3D val="0"/>
          </c:dPt>
          <c:dPt>
            <c:idx val="6"/>
            <c:invertIfNegative val="0"/>
            <c:bubble3D val="0"/>
          </c:dPt>
          <c:dPt>
            <c:idx val="7"/>
            <c:invertIfNegative val="0"/>
            <c:bubble3D val="0"/>
            <c:spPr>
              <a:solidFill>
                <a:srgbClr val="FF0000"/>
              </a:solidFill>
            </c:spPr>
          </c:dPt>
          <c:dLbls>
            <c:dLbl>
              <c:idx val="6"/>
              <c:numFmt formatCode="0.0%" sourceLinked="0"/>
              <c:spPr>
                <a:effectLst>
                  <a:outerShdw blurRad="50800" dist="50800" dir="5400000" sx="1000" sy="1000" algn="ctr" rotWithShape="0">
                    <a:schemeClr val="tx1"/>
                  </a:outerShdw>
                </a:effectLst>
              </c:spPr>
              <c:txPr>
                <a:bodyPr/>
                <a:lstStyle/>
                <a:p>
                  <a:pPr>
                    <a:defRPr sz="1000" b="1" i="1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numFmt formatCode="0.0%" sourceLinked="0"/>
              <c:spPr>
                <a:effectLst>
                  <a:outerShdw blurRad="50800" dist="50800" dir="5400000" sx="1000" sy="1000" algn="ctr" rotWithShape="0">
                    <a:schemeClr val="tx1"/>
                  </a:outerShdw>
                </a:effectLst>
              </c:spPr>
              <c:txPr>
                <a:bodyPr/>
                <a:lstStyle/>
                <a:p>
                  <a:pPr>
                    <a:defRPr sz="1000" b="1" i="1" u="none" strike="noStrike" baseline="0">
                      <a:solidFill>
                        <a:srgbClr val="FF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effectLst>
                <a:outerShdw blurRad="50800" dist="50800" dir="5400000" sx="1000" sy="1000" algn="ctr" rotWithShape="0">
                  <a:schemeClr val="tx1"/>
                </a:outerShdw>
              </a:effectLst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1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AreasSum!$A$64:$A$71</c:f>
              <c:strCache>
                <c:ptCount val="8"/>
                <c:pt idx="0">
                  <c:v>Human Resources / Security</c:v>
                </c:pt>
                <c:pt idx="1">
                  <c:v>Technology</c:v>
                </c:pt>
                <c:pt idx="2">
                  <c:v>Student Transportation</c:v>
                </c:pt>
                <c:pt idx="3">
                  <c:v>Instruction/Instructional Support</c:v>
                </c:pt>
                <c:pt idx="4">
                  <c:v>Administrative</c:v>
                </c:pt>
                <c:pt idx="5">
                  <c:v>Debt and Other</c:v>
                </c:pt>
                <c:pt idx="6">
                  <c:v>Utilities</c:v>
                </c:pt>
                <c:pt idx="7">
                  <c:v>Operations &amp; Maintenance</c:v>
                </c:pt>
              </c:strCache>
            </c:strRef>
          </c:cat>
          <c:val>
            <c:numRef>
              <c:f>AreasSum!$B$64:$B$71</c:f>
              <c:numCache>
                <c:formatCode>0.0%</c:formatCode>
                <c:ptCount val="8"/>
                <c:pt idx="0">
                  <c:v>7.3999999999999996E-2</c:v>
                </c:pt>
                <c:pt idx="1">
                  <c:v>0.05</c:v>
                </c:pt>
                <c:pt idx="2">
                  <c:v>3.9E-2</c:v>
                </c:pt>
                <c:pt idx="3">
                  <c:v>1.0999999999999999E-2</c:v>
                </c:pt>
                <c:pt idx="4">
                  <c:v>1E-3</c:v>
                </c:pt>
                <c:pt idx="5">
                  <c:v>0</c:v>
                </c:pt>
                <c:pt idx="6">
                  <c:v>0</c:v>
                </c:pt>
                <c:pt idx="7">
                  <c:v>-6.0000000000000001E-3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91837096"/>
        <c:axId val="391842976"/>
        <c:axId val="0"/>
      </c:bar3DChart>
      <c:catAx>
        <c:axId val="3918370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 rot="-270000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391842976"/>
        <c:crosses val="autoZero"/>
        <c:auto val="1"/>
        <c:lblAlgn val="ctr"/>
        <c:lblOffset val="100"/>
        <c:noMultiLvlLbl val="0"/>
      </c:catAx>
      <c:valAx>
        <c:axId val="391842976"/>
        <c:scaling>
          <c:orientation val="minMax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391837096"/>
        <c:crosses val="autoZero"/>
        <c:crossBetween val="between"/>
      </c:valAx>
      <c:spPr>
        <a:solidFill>
          <a:srgbClr val="EEECE1">
            <a:lumMod val="90000"/>
          </a:srgbClr>
        </a:solidFill>
      </c:spPr>
    </c:plotArea>
    <c:plotVisOnly val="1"/>
    <c:dispBlanksAs val="gap"/>
    <c:showDLblsOverMax val="0"/>
  </c:chart>
  <c:spPr>
    <a:solidFill>
      <a:schemeClr val="bg2">
        <a:lumMod val="90000"/>
      </a:schemeClr>
    </a:solidFill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Where the FY14-15 Budget Increase will be Utilized</a:t>
            </a:r>
          </a:p>
        </c:rich>
      </c:tx>
      <c:layout>
        <c:manualLayout>
          <c:xMode val="edge"/>
          <c:yMode val="edge"/>
          <c:x val="0.16343105668667479"/>
          <c:y val="1.0854886023497537E-2"/>
        </c:manualLayout>
      </c:layout>
      <c:overlay val="1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909473327718586"/>
          <c:y val="5.91809230677285E-2"/>
          <c:w val="0.86840090814580684"/>
          <c:h val="0.69861455173890752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chemeClr val="accent3">
                  <a:lumMod val="75000"/>
                </a:schemeClr>
              </a:solidFill>
            </c:spPr>
          </c:dPt>
          <c:dPt>
            <c:idx val="6"/>
            <c:invertIfNegative val="0"/>
            <c:bubble3D val="0"/>
          </c:dPt>
          <c:dPt>
            <c:idx val="7"/>
            <c:invertIfNegative val="0"/>
            <c:bubble3D val="0"/>
            <c:spPr>
              <a:solidFill>
                <a:srgbClr val="FF0000"/>
              </a:solidFill>
            </c:spPr>
          </c:dPt>
          <c:dLbls>
            <c:dLbl>
              <c:idx val="7"/>
              <c:spPr/>
              <c:txPr>
                <a:bodyPr/>
                <a:lstStyle/>
                <a:p>
                  <a:pPr>
                    <a:defRPr sz="1000" b="1" i="1" u="none" strike="noStrike" baseline="0">
                      <a:solidFill>
                        <a:srgbClr val="FF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1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AreasSum!$D$64:$D$71</c:f>
              <c:strCache>
                <c:ptCount val="8"/>
                <c:pt idx="0">
                  <c:v>Instruction/Instr. Support</c:v>
                </c:pt>
                <c:pt idx="1">
                  <c:v>Student Transportation</c:v>
                </c:pt>
                <c:pt idx="2">
                  <c:v>Human Resources / Security</c:v>
                </c:pt>
                <c:pt idx="3">
                  <c:v>Technology</c:v>
                </c:pt>
                <c:pt idx="4">
                  <c:v>Administrative</c:v>
                </c:pt>
                <c:pt idx="5">
                  <c:v>Debt and Other</c:v>
                </c:pt>
                <c:pt idx="6">
                  <c:v>Utilities</c:v>
                </c:pt>
                <c:pt idx="7">
                  <c:v>Operations &amp; Maintenance</c:v>
                </c:pt>
              </c:strCache>
            </c:strRef>
          </c:cat>
          <c:val>
            <c:numRef>
              <c:f>AreasSum!$E$64:$E$71</c:f>
              <c:numCache>
                <c:formatCode>0.0%</c:formatCode>
                <c:ptCount val="8"/>
                <c:pt idx="0">
                  <c:v>0.76600000000000001</c:v>
                </c:pt>
                <c:pt idx="1">
                  <c:v>0.11700000000000001</c:v>
                </c:pt>
                <c:pt idx="2">
                  <c:v>8.3000000000000004E-2</c:v>
                </c:pt>
                <c:pt idx="3">
                  <c:v>6.0999999999999999E-2</c:v>
                </c:pt>
                <c:pt idx="4">
                  <c:v>1E-3</c:v>
                </c:pt>
                <c:pt idx="5">
                  <c:v>0</c:v>
                </c:pt>
                <c:pt idx="6">
                  <c:v>0</c:v>
                </c:pt>
                <c:pt idx="7">
                  <c:v>-2.8000000000000001E-2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91836704"/>
        <c:axId val="391835136"/>
        <c:axId val="0"/>
      </c:bar3DChart>
      <c:catAx>
        <c:axId val="3918367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 rot="-270000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391835136"/>
        <c:crosses val="autoZero"/>
        <c:auto val="1"/>
        <c:lblAlgn val="ctr"/>
        <c:lblOffset val="100"/>
        <c:noMultiLvlLbl val="0"/>
      </c:catAx>
      <c:valAx>
        <c:axId val="391835136"/>
        <c:scaling>
          <c:orientation val="minMax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391836704"/>
        <c:crosses val="autoZero"/>
        <c:crossBetween val="between"/>
      </c:valAx>
      <c:spPr>
        <a:solidFill>
          <a:schemeClr val="bg2">
            <a:lumMod val="90000"/>
          </a:schemeClr>
        </a:solidFill>
      </c:spPr>
    </c:plotArea>
    <c:plotVisOnly val="1"/>
    <c:dispBlanksAs val="gap"/>
    <c:showDLblsOverMax val="0"/>
  </c:chart>
  <c:spPr>
    <a:solidFill>
      <a:schemeClr val="bg2">
        <a:lumMod val="90000"/>
      </a:schemeClr>
    </a:solidFill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78" l="0.70000000000000062" r="0.70000000000000062" t="0.75000000000000078" header="0.30000000000000032" footer="0.3000000000000003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400" b="1" i="0" u="none" strike="noStrike" baseline="0">
                <a:solidFill>
                  <a:srgbClr val="000000"/>
                </a:solidFill>
                <a:latin typeface="Calibri"/>
              </a:rPr>
              <a:t>Six-Year % Increase </a:t>
            </a:r>
            <a:r>
              <a:rPr lang="en-US" sz="1400" b="1" i="0" u="none" strike="noStrike" baseline="0">
                <a:solidFill>
                  <a:srgbClr val="FF0000"/>
                </a:solidFill>
                <a:latin typeface="Calibri"/>
              </a:rPr>
              <a:t>(Decrease)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Calibri"/>
              </a:rPr>
              <a:t> within each Area</a:t>
            </a:r>
          </a:p>
        </c:rich>
      </c:tx>
      <c:layout>
        <c:manualLayout>
          <c:xMode val="edge"/>
          <c:yMode val="edge"/>
          <c:x val="0.16488295381996168"/>
          <c:y val="5.4199225096862895E-3"/>
        </c:manualLayout>
      </c:layout>
      <c:overlay val="1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605841952682744"/>
          <c:y val="8.5111161104861888E-2"/>
          <c:w val="0.87501312335958004"/>
          <c:h val="0.6258271716035495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dPt>
            <c:idx val="5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</c:spPr>
          </c:dPt>
          <c:dPt>
            <c:idx val="6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7"/>
            <c:invertIfNegative val="0"/>
            <c:bubble3D val="0"/>
            <c:spPr>
              <a:solidFill>
                <a:srgbClr val="FF0000"/>
              </a:solidFill>
            </c:spPr>
          </c:dPt>
          <c:dLbls>
            <c:dLbl>
              <c:idx val="5"/>
              <c:numFmt formatCode="0.0%" sourceLinked="0"/>
              <c:spPr/>
              <c:txPr>
                <a:bodyPr/>
                <a:lstStyle/>
                <a:p>
                  <a:pPr>
                    <a:defRPr sz="1000" b="1" i="1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numFmt formatCode="0.0%" sourceLinked="0"/>
              <c:spPr/>
              <c:txPr>
                <a:bodyPr/>
                <a:lstStyle/>
                <a:p>
                  <a:pPr>
                    <a:defRPr sz="1000" b="1" i="1" u="none" strike="noStrike" baseline="0">
                      <a:solidFill>
                        <a:srgbClr val="FF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numFmt formatCode="0.0%" sourceLinked="0"/>
              <c:spPr/>
              <c:txPr>
                <a:bodyPr/>
                <a:lstStyle/>
                <a:p>
                  <a:pPr>
                    <a:defRPr sz="1000" b="1" i="1" u="none" strike="noStrike" baseline="0">
                      <a:solidFill>
                        <a:srgbClr val="FF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1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AreasSum!$A$75:$A$82</c:f>
              <c:strCache>
                <c:ptCount val="8"/>
                <c:pt idx="0">
                  <c:v>Human Resources / Security</c:v>
                </c:pt>
                <c:pt idx="1">
                  <c:v>Debt and Other</c:v>
                </c:pt>
                <c:pt idx="2">
                  <c:v>Utilities</c:v>
                </c:pt>
                <c:pt idx="3">
                  <c:v>Instruction/Instructional Support</c:v>
                </c:pt>
                <c:pt idx="4">
                  <c:v>Student Transportation</c:v>
                </c:pt>
                <c:pt idx="5">
                  <c:v>Technology</c:v>
                </c:pt>
                <c:pt idx="6">
                  <c:v>Operations &amp; Maintenance</c:v>
                </c:pt>
                <c:pt idx="7">
                  <c:v>Administrative</c:v>
                </c:pt>
              </c:strCache>
            </c:strRef>
          </c:cat>
          <c:val>
            <c:numRef>
              <c:f>AreasSum!$B$75:$B$82</c:f>
              <c:numCache>
                <c:formatCode>0.0%</c:formatCode>
                <c:ptCount val="8"/>
                <c:pt idx="0">
                  <c:v>0.81100000000000005</c:v>
                </c:pt>
                <c:pt idx="1">
                  <c:v>0.29099999999999998</c:v>
                </c:pt>
                <c:pt idx="2">
                  <c:v>0.214</c:v>
                </c:pt>
                <c:pt idx="3">
                  <c:v>0.156</c:v>
                </c:pt>
                <c:pt idx="4">
                  <c:v>0.13500000000000001</c:v>
                </c:pt>
                <c:pt idx="5">
                  <c:v>7.0999999999999994E-2</c:v>
                </c:pt>
                <c:pt idx="6">
                  <c:v>-3.5000000000000003E-2</c:v>
                </c:pt>
                <c:pt idx="7">
                  <c:v>-0.186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91833176"/>
        <c:axId val="391838272"/>
        <c:axId val="0"/>
      </c:bar3DChart>
      <c:catAx>
        <c:axId val="3918331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 rot="-270000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391838272"/>
        <c:crosses val="autoZero"/>
        <c:auto val="1"/>
        <c:lblAlgn val="ctr"/>
        <c:lblOffset val="100"/>
        <c:noMultiLvlLbl val="0"/>
      </c:catAx>
      <c:valAx>
        <c:axId val="391838272"/>
        <c:scaling>
          <c:orientation val="minMax"/>
          <c:max val="0.8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391833176"/>
        <c:crosses val="autoZero"/>
        <c:crossBetween val="between"/>
      </c:valAx>
      <c:spPr>
        <a:solidFill>
          <a:srgbClr val="EEECE1">
            <a:lumMod val="90000"/>
          </a:srgbClr>
        </a:solidFill>
      </c:spPr>
    </c:plotArea>
    <c:plotVisOnly val="1"/>
    <c:dispBlanksAs val="gap"/>
    <c:showDLblsOverMax val="0"/>
  </c:chart>
  <c:spPr>
    <a:solidFill>
      <a:schemeClr val="bg2">
        <a:lumMod val="90000"/>
      </a:schemeClr>
    </a:solidFill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Where the 6-Yr Cumulative Budget Increase was/will be Utilized</a:t>
            </a:r>
          </a:p>
        </c:rich>
      </c:tx>
      <c:layout>
        <c:manualLayout>
          <c:xMode val="edge"/>
          <c:yMode val="edge"/>
          <c:x val="0.15617048722152052"/>
          <c:y val="1.3414030703141074E-2"/>
        </c:manualLayout>
      </c:layout>
      <c:overlay val="1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1106626176847348"/>
          <c:y val="7.7125607864982459E-2"/>
          <c:w val="0.63168973332258382"/>
          <c:h val="0.63270732649814565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3">
                  <a:lumMod val="75000"/>
                </a:schemeClr>
              </a:solidFill>
            </c:spPr>
          </c:dPt>
          <c:dPt>
            <c:idx val="5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</c:spPr>
          </c:dPt>
          <c:dPt>
            <c:idx val="6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7"/>
            <c:invertIfNegative val="0"/>
            <c:bubble3D val="0"/>
            <c:spPr>
              <a:solidFill>
                <a:srgbClr val="FF0000"/>
              </a:solidFill>
            </c:spPr>
          </c:dPt>
          <c:dLbls>
            <c:dLbl>
              <c:idx val="0"/>
              <c:numFmt formatCode="0.0%" sourceLinked="0"/>
              <c:spPr/>
              <c:txPr>
                <a:bodyPr/>
                <a:lstStyle/>
                <a:p>
                  <a:pPr>
                    <a:defRPr sz="1050" b="1" i="1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numFmt formatCode="0.0%" sourceLinked="0"/>
              <c:spPr>
                <a:noFill/>
              </c:spPr>
              <c:txPr>
                <a:bodyPr/>
                <a:lstStyle/>
                <a:p>
                  <a:pPr>
                    <a:defRPr sz="1050" b="1" i="1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numFmt formatCode="0.0%" sourceLinked="0"/>
              <c:spPr/>
              <c:txPr>
                <a:bodyPr/>
                <a:lstStyle/>
                <a:p>
                  <a:pPr>
                    <a:defRPr sz="1050" b="1" i="1" u="none" strike="noStrike" baseline="0">
                      <a:solidFill>
                        <a:srgbClr val="FF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numFmt formatCode="0.0%" sourceLinked="0"/>
              <c:spPr/>
              <c:txPr>
                <a:bodyPr/>
                <a:lstStyle/>
                <a:p>
                  <a:pPr>
                    <a:defRPr sz="1050" b="1" i="1" u="none" strike="noStrike" baseline="0">
                      <a:solidFill>
                        <a:srgbClr val="FF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50" b="1" i="1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AreasSum!$D$75:$D$82</c:f>
              <c:strCache>
                <c:ptCount val="8"/>
                <c:pt idx="0">
                  <c:v>Instruction/Instructional Support</c:v>
                </c:pt>
                <c:pt idx="1">
                  <c:v>Debt and Other</c:v>
                </c:pt>
                <c:pt idx="2">
                  <c:v>Utilities</c:v>
                </c:pt>
                <c:pt idx="3">
                  <c:v>Human Resources / Security</c:v>
                </c:pt>
                <c:pt idx="4">
                  <c:v>Student Transportation</c:v>
                </c:pt>
                <c:pt idx="5">
                  <c:v>Technology</c:v>
                </c:pt>
                <c:pt idx="6">
                  <c:v>Administrative</c:v>
                </c:pt>
                <c:pt idx="7">
                  <c:v>Operations &amp; Maintenance</c:v>
                </c:pt>
              </c:strCache>
            </c:strRef>
          </c:cat>
          <c:val>
            <c:numRef>
              <c:f>AreasSum!$E$75:$E$82</c:f>
              <c:numCache>
                <c:formatCode>0.0%</c:formatCode>
                <c:ptCount val="8"/>
                <c:pt idx="0">
                  <c:v>0.83199999999999996</c:v>
                </c:pt>
                <c:pt idx="1">
                  <c:v>5.6000000000000001E-2</c:v>
                </c:pt>
                <c:pt idx="2">
                  <c:v>5.0999999999999997E-2</c:v>
                </c:pt>
                <c:pt idx="3">
                  <c:v>4.9000000000000002E-2</c:v>
                </c:pt>
                <c:pt idx="4">
                  <c:v>3.4000000000000002E-2</c:v>
                </c:pt>
                <c:pt idx="5">
                  <c:v>8.0000000000000002E-3</c:v>
                </c:pt>
                <c:pt idx="6">
                  <c:v>-1.4999999999999999E-2</c:v>
                </c:pt>
                <c:pt idx="7">
                  <c:v>-1.6E-2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91838664"/>
        <c:axId val="391841800"/>
        <c:axId val="0"/>
      </c:bar3DChart>
      <c:catAx>
        <c:axId val="3918386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 rot="-276000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391841800"/>
        <c:crosses val="autoZero"/>
        <c:auto val="1"/>
        <c:lblAlgn val="ctr"/>
        <c:lblOffset val="100"/>
        <c:noMultiLvlLbl val="0"/>
      </c:catAx>
      <c:valAx>
        <c:axId val="391841800"/>
        <c:scaling>
          <c:orientation val="minMax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391838664"/>
        <c:crosses val="autoZero"/>
        <c:crossBetween val="between"/>
      </c:valAx>
      <c:spPr>
        <a:solidFill>
          <a:srgbClr val="EEECE1">
            <a:lumMod val="90000"/>
          </a:srgbClr>
        </a:solidFill>
      </c:spPr>
    </c:plotArea>
    <c:plotVisOnly val="1"/>
    <c:dispBlanksAs val="gap"/>
    <c:showDLblsOverMax val="0"/>
  </c:chart>
  <c:spPr>
    <a:solidFill>
      <a:schemeClr val="bg2">
        <a:lumMod val="90000"/>
      </a:schemeClr>
    </a:solidFill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Areas of Utilization FY 13-14</a:t>
            </a:r>
          </a:p>
        </c:rich>
      </c:tx>
      <c:overlay val="1"/>
    </c:title>
    <c:autoTitleDeleted val="0"/>
    <c:view3D>
      <c:rotX val="3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2.6238171168061198E-2"/>
          <c:y val="0.14317990738962508"/>
          <c:w val="0.92237305409892656"/>
          <c:h val="0.69303076385838036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Pt>
            <c:idx val="7"/>
            <c:bubble3D val="0"/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AreasofU!$B$193:$B$200</c:f>
              <c:strCache>
                <c:ptCount val="8"/>
                <c:pt idx="0">
                  <c:v>Debt &amp; Other</c:v>
                </c:pt>
                <c:pt idx="1">
                  <c:v>Instruction/Support</c:v>
                </c:pt>
                <c:pt idx="2">
                  <c:v>Transportation</c:v>
                </c:pt>
                <c:pt idx="3">
                  <c:v>Administrative</c:v>
                </c:pt>
                <c:pt idx="4">
                  <c:v>Human Resources / Security</c:v>
                </c:pt>
                <c:pt idx="5">
                  <c:v>Operations / Maint</c:v>
                </c:pt>
                <c:pt idx="6">
                  <c:v>Utilities</c:v>
                </c:pt>
                <c:pt idx="7">
                  <c:v>Technology</c:v>
                </c:pt>
              </c:strCache>
            </c:strRef>
          </c:cat>
          <c:val>
            <c:numRef>
              <c:f>AreasofU!$C$193:$C$200</c:f>
              <c:numCache>
                <c:formatCode>0.0%</c:formatCode>
                <c:ptCount val="8"/>
                <c:pt idx="0">
                  <c:v>3.2559470022650028E-2</c:v>
                </c:pt>
                <c:pt idx="1">
                  <c:v>0.79855925566905706</c:v>
                </c:pt>
                <c:pt idx="2">
                  <c:v>3.6180959684852583E-2</c:v>
                </c:pt>
                <c:pt idx="3">
                  <c:v>8.4945780449523309E-3</c:v>
                </c:pt>
                <c:pt idx="4">
                  <c:v>1.3397037633345798E-2</c:v>
                </c:pt>
                <c:pt idx="5">
                  <c:v>5.8287362426673206E-2</c:v>
                </c:pt>
                <c:pt idx="6">
                  <c:v>3.8026529829684165E-2</c:v>
                </c:pt>
                <c:pt idx="7">
                  <c:v>1.4494806688784782E-2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3.8961038961038967E-2"/>
          <c:y val="0.77721217516371566"/>
          <c:w val="0.90538033395176243"/>
          <c:h val="0.17517035895374775"/>
        </c:manualLayout>
      </c:layout>
      <c:overlay val="0"/>
      <c:txPr>
        <a:bodyPr/>
        <a:lstStyle/>
        <a:p>
          <a:pPr>
            <a:defRPr sz="965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chemeClr val="bg2">
        <a:lumMod val="90000"/>
      </a:schemeClr>
    </a:solidFill>
    <a:ln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Areas of Utilization FY 14-15                         </a:t>
            </a:r>
          </a:p>
        </c:rich>
      </c:tx>
      <c:layout>
        <c:manualLayout>
          <c:xMode val="edge"/>
          <c:yMode val="edge"/>
          <c:x val="0.26086094310674934"/>
          <c:y val="1.6985211650305827E-2"/>
        </c:manualLayout>
      </c:layout>
      <c:overlay val="1"/>
    </c:title>
    <c:autoTitleDeleted val="0"/>
    <c:view3D>
      <c:rotX val="3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2.9730462658957305E-2"/>
          <c:y val="0.14317990738962508"/>
          <c:w val="0.91888078565825027"/>
          <c:h val="0.68962268251500414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Pt>
            <c:idx val="7"/>
            <c:bubble3D val="0"/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AreasofU!$B$205:$B$212</c:f>
              <c:strCache>
                <c:ptCount val="8"/>
                <c:pt idx="0">
                  <c:v>Debt &amp; Other</c:v>
                </c:pt>
                <c:pt idx="1">
                  <c:v>Instruction/Support</c:v>
                </c:pt>
                <c:pt idx="2">
                  <c:v>Transportation</c:v>
                </c:pt>
                <c:pt idx="3">
                  <c:v>Administrative</c:v>
                </c:pt>
                <c:pt idx="4">
                  <c:v>Human Resources / Security</c:v>
                </c:pt>
                <c:pt idx="5">
                  <c:v>Operations / Maint</c:v>
                </c:pt>
                <c:pt idx="6">
                  <c:v>Utilities</c:v>
                </c:pt>
                <c:pt idx="7">
                  <c:v>Technology</c:v>
                </c:pt>
              </c:strCache>
            </c:strRef>
          </c:cat>
          <c:val>
            <c:numRef>
              <c:f>AreasofU!$C$205:$C$212</c:f>
              <c:numCache>
                <c:formatCode>0.0%</c:formatCode>
                <c:ptCount val="8"/>
                <c:pt idx="0">
                  <c:v>3.2174934394012498E-2</c:v>
                </c:pt>
                <c:pt idx="1">
                  <c:v>0.79817207479670971</c:v>
                </c:pt>
                <c:pt idx="2">
                  <c:v>3.7137994986878801E-2</c:v>
                </c:pt>
                <c:pt idx="3">
                  <c:v>8.4017698906763E-3</c:v>
                </c:pt>
                <c:pt idx="4">
                  <c:v>1.421963119432317E-2</c:v>
                </c:pt>
                <c:pt idx="5">
                  <c:v>5.7272993868929242E-2</c:v>
                </c:pt>
                <c:pt idx="6">
                  <c:v>3.7577426833143086E-2</c:v>
                </c:pt>
                <c:pt idx="7">
                  <c:v>1.5043174035327206E-2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4.8872191665119753E-2"/>
          <c:y val="0.75979651872502696"/>
          <c:w val="0.90789494516357094"/>
          <c:h val="0.18909733986205834"/>
        </c:manualLayout>
      </c:layout>
      <c:overlay val="0"/>
      <c:txPr>
        <a:bodyPr/>
        <a:lstStyle/>
        <a:p>
          <a:pPr>
            <a:defRPr sz="965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chemeClr val="bg1">
        <a:lumMod val="85000"/>
      </a:schemeClr>
    </a:solidFill>
    <a:ln>
      <a:solidFill>
        <a:sysClr val="windowText" lastClr="000000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FY 13-14 Approved Budget</a:t>
            </a:r>
          </a:p>
        </c:rich>
      </c:tx>
      <c:layout>
        <c:manualLayout>
          <c:xMode val="edge"/>
          <c:yMode val="edge"/>
          <c:x val="0.2433369911890598"/>
          <c:y val="1.1899553745713136E-2"/>
        </c:manualLayout>
      </c:layout>
      <c:overlay val="1"/>
    </c:title>
    <c:autoTitleDeleted val="0"/>
    <c:view3D>
      <c:rotX val="4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3.7592232511278391E-2"/>
          <c:y val="0.11306173684811138"/>
          <c:w val="0.9393799613679098"/>
          <c:h val="0.70167942965939323"/>
        </c:manualLayout>
      </c:layout>
      <c:pie3DChart>
        <c:varyColors val="1"/>
        <c:ser>
          <c:idx val="0"/>
          <c:order val="0"/>
          <c:explosion val="11"/>
          <c:dPt>
            <c:idx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</c:spPr>
          </c:dPt>
          <c:dPt>
            <c:idx val="1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</c:spPr>
          </c:dPt>
          <c:dPt>
            <c:idx val="2"/>
            <c:bubble3D val="0"/>
          </c:dPt>
          <c:dPt>
            <c:idx val="3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</c:spPr>
          </c:dPt>
          <c:dPt>
            <c:idx val="4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</c:spPr>
          </c:dPt>
          <c:dPt>
            <c:idx val="5"/>
            <c:bubble3D val="0"/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summaryLines!$O$127:$O$132</c:f>
              <c:strCache>
                <c:ptCount val="6"/>
                <c:pt idx="0">
                  <c:v> Personal Services</c:v>
                </c:pt>
                <c:pt idx="1">
                  <c:v> Employee Benefits</c:v>
                </c:pt>
                <c:pt idx="2">
                  <c:v> Contracted Services</c:v>
                </c:pt>
                <c:pt idx="3">
                  <c:v> Supplies/ Materials</c:v>
                </c:pt>
                <c:pt idx="4">
                  <c:v> Other Charges</c:v>
                </c:pt>
                <c:pt idx="5">
                  <c:v> Capital Outlay</c:v>
                </c:pt>
              </c:strCache>
            </c:strRef>
          </c:cat>
          <c:val>
            <c:numRef>
              <c:f>summaryLines!$P$127:$P$132</c:f>
              <c:numCache>
                <c:formatCode>0.0%</c:formatCode>
                <c:ptCount val="6"/>
                <c:pt idx="0">
                  <c:v>0.6582239756875391</c:v>
                </c:pt>
                <c:pt idx="1">
                  <c:v>0.17571041305937357</c:v>
                </c:pt>
                <c:pt idx="2">
                  <c:v>5.7405504600266277E-2</c:v>
                </c:pt>
                <c:pt idx="3">
                  <c:v>5.2808953787747075E-2</c:v>
                </c:pt>
                <c:pt idx="4">
                  <c:v>5.45729957343635E-2</c:v>
                </c:pt>
                <c:pt idx="5">
                  <c:v>1.2781571307104393E-3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solidFill>
          <a:schemeClr val="bg1">
            <a:lumMod val="75000"/>
          </a:schemeClr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4.9429703679843152E-2"/>
          <c:y val="0.80524436607145511"/>
          <c:w val="0.88403123888950264"/>
          <c:h val="0.18352080901163395"/>
        </c:manualLayout>
      </c:layout>
      <c:overlay val="0"/>
      <c:spPr>
        <a:solidFill>
          <a:schemeClr val="bg1"/>
        </a:solidFill>
      </c:spPr>
      <c:txPr>
        <a:bodyPr/>
        <a:lstStyle/>
        <a:p>
          <a:pPr>
            <a:defRPr sz="101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chemeClr val="bg1">
        <a:lumMod val="75000"/>
      </a:schemeClr>
    </a:solidFill>
    <a:ln w="15875"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FY 14-15 Proposed Budget</a:t>
            </a:r>
          </a:p>
        </c:rich>
      </c:tx>
      <c:layout>
        <c:manualLayout>
          <c:xMode val="edge"/>
          <c:yMode val="edge"/>
          <c:x val="0.23042118494493402"/>
          <c:y val="7.4094186502549255E-3"/>
        </c:manualLayout>
      </c:layout>
      <c:overlay val="1"/>
    </c:title>
    <c:autoTitleDeleted val="0"/>
    <c:view3D>
      <c:rotX val="4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2914232495131658E-2"/>
          <c:y val="0.10770999301053052"/>
          <c:w val="0.90554414784394255"/>
          <c:h val="0.72295514511873349"/>
        </c:manualLayout>
      </c:layout>
      <c:pie3DChart>
        <c:varyColors val="1"/>
        <c:ser>
          <c:idx val="0"/>
          <c:order val="0"/>
          <c:explosion val="7"/>
          <c:dPt>
            <c:idx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</c:spPr>
          </c:dPt>
          <c:dPt>
            <c:idx val="1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</c:spPr>
          </c:dPt>
          <c:dPt>
            <c:idx val="2"/>
            <c:bubble3D val="0"/>
          </c:dPt>
          <c:dPt>
            <c:idx val="3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</c:spPr>
          </c:dPt>
          <c:dPt>
            <c:idx val="4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</c:spPr>
          </c:dPt>
          <c:dPt>
            <c:idx val="5"/>
            <c:bubble3D val="0"/>
            <c:spPr>
              <a:solidFill>
                <a:schemeClr val="accent6">
                  <a:lumMod val="75000"/>
                </a:schemeClr>
              </a:solidFill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summaryLines!$O$141:$O$146</c:f>
              <c:strCache>
                <c:ptCount val="6"/>
                <c:pt idx="0">
                  <c:v> Personal Services</c:v>
                </c:pt>
                <c:pt idx="1">
                  <c:v> Employee Benefits</c:v>
                </c:pt>
                <c:pt idx="2">
                  <c:v> Contracted Services</c:v>
                </c:pt>
                <c:pt idx="3">
                  <c:v> Supplies/ Materials</c:v>
                </c:pt>
                <c:pt idx="4">
                  <c:v> Other Charges</c:v>
                </c:pt>
                <c:pt idx="5">
                  <c:v> Capital Outlay</c:v>
                </c:pt>
              </c:strCache>
            </c:strRef>
          </c:cat>
          <c:val>
            <c:numRef>
              <c:f>summaryLines!$P$141:$P$146</c:f>
              <c:numCache>
                <c:formatCode>0.0%</c:formatCode>
                <c:ptCount val="6"/>
                <c:pt idx="0">
                  <c:v>0.65648835096555536</c:v>
                </c:pt>
                <c:pt idx="1">
                  <c:v>0.17660812925850525</c:v>
                </c:pt>
                <c:pt idx="2">
                  <c:v>5.794264094990409E-2</c:v>
                </c:pt>
                <c:pt idx="3">
                  <c:v>5.2332445249891148E-2</c:v>
                </c:pt>
                <c:pt idx="4">
                  <c:v>5.5365371806488817E-2</c:v>
                </c:pt>
                <c:pt idx="5">
                  <c:v>1.2630617696553184E-3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solidFill>
          <a:schemeClr val="bg2">
            <a:lumMod val="75000"/>
          </a:schemeClr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4.8262582382790624E-2"/>
          <c:y val="0.80414571426075498"/>
          <c:w val="0.88417050925272422"/>
          <c:h val="0.18455803278115687"/>
        </c:manualLayout>
      </c:layout>
      <c:overlay val="0"/>
      <c:spPr>
        <a:solidFill>
          <a:schemeClr val="bg1"/>
        </a:solidFill>
      </c:spPr>
      <c:txPr>
        <a:bodyPr/>
        <a:lstStyle/>
        <a:p>
          <a:pPr>
            <a:defRPr sz="101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chemeClr val="bg2">
        <a:lumMod val="75000"/>
      </a:schemeClr>
    </a:solidFill>
    <a:ln w="15875"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4</xdr:row>
      <xdr:rowOff>7620</xdr:rowOff>
    </xdr:from>
    <xdr:to>
      <xdr:col>14</xdr:col>
      <xdr:colOff>160020</xdr:colOff>
      <xdr:row>29</xdr:row>
      <xdr:rowOff>15240</xdr:rowOff>
    </xdr:to>
    <xdr:graphicFrame macro="">
      <xdr:nvGraphicFramePr>
        <xdr:cNvPr id="9833118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579120</xdr:colOff>
      <xdr:row>4</xdr:row>
      <xdr:rowOff>15240</xdr:rowOff>
    </xdr:from>
    <xdr:to>
      <xdr:col>21</xdr:col>
      <xdr:colOff>723900</xdr:colOff>
      <xdr:row>29</xdr:row>
      <xdr:rowOff>0</xdr:rowOff>
    </xdr:to>
    <xdr:graphicFrame macro="">
      <xdr:nvGraphicFramePr>
        <xdr:cNvPr id="9833119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0</xdr:colOff>
      <xdr:row>33</xdr:row>
      <xdr:rowOff>0</xdr:rowOff>
    </xdr:from>
    <xdr:to>
      <xdr:col>14</xdr:col>
      <xdr:colOff>175260</xdr:colOff>
      <xdr:row>58</xdr:row>
      <xdr:rowOff>0</xdr:rowOff>
    </xdr:to>
    <xdr:graphicFrame macro="">
      <xdr:nvGraphicFramePr>
        <xdr:cNvPr id="9833120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617220</xdr:colOff>
      <xdr:row>33</xdr:row>
      <xdr:rowOff>15240</xdr:rowOff>
    </xdr:from>
    <xdr:to>
      <xdr:col>21</xdr:col>
      <xdr:colOff>731520</xdr:colOff>
      <xdr:row>58</xdr:row>
      <xdr:rowOff>0</xdr:rowOff>
    </xdr:to>
    <xdr:graphicFrame macro="">
      <xdr:nvGraphicFramePr>
        <xdr:cNvPr id="9833121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662940</xdr:colOff>
      <xdr:row>28</xdr:row>
      <xdr:rowOff>15240</xdr:rowOff>
    </xdr:from>
    <xdr:to>
      <xdr:col>3</xdr:col>
      <xdr:colOff>678180</xdr:colOff>
      <xdr:row>32</xdr:row>
      <xdr:rowOff>160020</xdr:rowOff>
    </xdr:to>
    <xdr:cxnSp macro="">
      <xdr:nvCxnSpPr>
        <xdr:cNvPr id="9833122" name="Straight Arrow Connector 8"/>
        <xdr:cNvCxnSpPr>
          <a:cxnSpLocks noChangeShapeType="1"/>
        </xdr:cNvCxnSpPr>
      </xdr:nvCxnSpPr>
      <xdr:spPr bwMode="auto">
        <a:xfrm>
          <a:off x="5509260" y="5760720"/>
          <a:ext cx="15240" cy="93726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0</xdr:colOff>
      <xdr:row>166</xdr:row>
      <xdr:rowOff>19050</xdr:rowOff>
    </xdr:from>
    <xdr:ext cx="184731" cy="272119"/>
    <xdr:sp macro="" textlink="">
      <xdr:nvSpPr>
        <xdr:cNvPr id="4" name="TextBox 3"/>
        <xdr:cNvSpPr txBox="1"/>
      </xdr:nvSpPr>
      <xdr:spPr>
        <a:xfrm>
          <a:off x="5048250" y="27746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twoCellAnchor>
    <xdr:from>
      <xdr:col>0</xdr:col>
      <xdr:colOff>685800</xdr:colOff>
      <xdr:row>150</xdr:row>
      <xdr:rowOff>83820</xdr:rowOff>
    </xdr:from>
    <xdr:to>
      <xdr:col>3</xdr:col>
      <xdr:colOff>678180</xdr:colOff>
      <xdr:row>177</xdr:row>
      <xdr:rowOff>7620</xdr:rowOff>
    </xdr:to>
    <xdr:graphicFrame macro="">
      <xdr:nvGraphicFramePr>
        <xdr:cNvPr id="911426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883920</xdr:colOff>
      <xdr:row>150</xdr:row>
      <xdr:rowOff>76200</xdr:rowOff>
    </xdr:from>
    <xdr:to>
      <xdr:col>8</xdr:col>
      <xdr:colOff>0</xdr:colOff>
      <xdr:row>176</xdr:row>
      <xdr:rowOff>160020</xdr:rowOff>
    </xdr:to>
    <xdr:graphicFrame macro="">
      <xdr:nvGraphicFramePr>
        <xdr:cNvPr id="911426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99060</xdr:colOff>
      <xdr:row>6</xdr:row>
      <xdr:rowOff>38100</xdr:rowOff>
    </xdr:from>
    <xdr:to>
      <xdr:col>0</xdr:col>
      <xdr:colOff>4107180</xdr:colOff>
      <xdr:row>28</xdr:row>
      <xdr:rowOff>76200</xdr:rowOff>
    </xdr:to>
    <xdr:graphicFrame macro="">
      <xdr:nvGraphicFramePr>
        <xdr:cNvPr id="8813061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137160</xdr:colOff>
      <xdr:row>6</xdr:row>
      <xdr:rowOff>30480</xdr:rowOff>
    </xdr:from>
    <xdr:to>
      <xdr:col>5</xdr:col>
      <xdr:colOff>4084320</xdr:colOff>
      <xdr:row>28</xdr:row>
      <xdr:rowOff>45720</xdr:rowOff>
    </xdr:to>
    <xdr:graphicFrame macro="">
      <xdr:nvGraphicFramePr>
        <xdr:cNvPr id="8813062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3"/>
  <sheetViews>
    <sheetView tabSelected="1" topLeftCell="A34" zoomScaleNormal="100" workbookViewId="0">
      <selection activeCell="H67" sqref="H67"/>
    </sheetView>
  </sheetViews>
  <sheetFormatPr defaultRowHeight="13.2" x14ac:dyDescent="0.25"/>
  <cols>
    <col min="1" max="1" width="36.5546875" customWidth="1"/>
    <col min="2" max="2" width="17.5546875" customWidth="1"/>
    <col min="3" max="3" width="16.5546875" style="283" customWidth="1"/>
    <col min="4" max="4" width="17.5546875" customWidth="1"/>
    <col min="5" max="5" width="14.6640625" style="183" customWidth="1"/>
    <col min="6" max="6" width="15.44140625" customWidth="1"/>
    <col min="8" max="22" width="11.6640625" customWidth="1"/>
  </cols>
  <sheetData>
    <row r="1" spans="1:22" ht="36" thickBot="1" x14ac:dyDescent="0.65">
      <c r="A1" s="390" t="s">
        <v>535</v>
      </c>
      <c r="B1" s="391"/>
      <c r="C1" s="391"/>
      <c r="D1" s="391"/>
      <c r="E1" s="391"/>
      <c r="F1" s="391"/>
      <c r="G1" s="391"/>
      <c r="H1" s="391"/>
      <c r="I1" s="391"/>
      <c r="J1" s="391"/>
      <c r="K1" s="391"/>
      <c r="L1" s="391"/>
      <c r="M1" s="391"/>
      <c r="N1" s="391"/>
      <c r="O1" s="391"/>
      <c r="P1" s="391"/>
      <c r="Q1" s="391"/>
      <c r="R1" s="391"/>
      <c r="S1" s="391"/>
      <c r="T1" s="391"/>
      <c r="U1" s="391"/>
      <c r="V1" s="392"/>
    </row>
    <row r="2" spans="1:22" ht="11.25" customHeight="1" x14ac:dyDescent="0.3">
      <c r="A2" s="266"/>
      <c r="C2" s="210"/>
    </row>
    <row r="3" spans="1:22" ht="11.25" customHeight="1" x14ac:dyDescent="0.3">
      <c r="A3" s="266"/>
      <c r="C3" s="210"/>
    </row>
    <row r="4" spans="1:22" ht="18" thickBot="1" x14ac:dyDescent="0.35">
      <c r="A4" s="266"/>
    </row>
    <row r="5" spans="1:22" ht="18" thickBot="1" x14ac:dyDescent="0.35">
      <c r="A5" s="266"/>
      <c r="B5" s="387" t="s">
        <v>434</v>
      </c>
      <c r="C5" s="388"/>
      <c r="D5" s="388"/>
      <c r="E5" s="388"/>
      <c r="F5" s="389"/>
    </row>
    <row r="6" spans="1:22" ht="17.399999999999999" x14ac:dyDescent="0.3">
      <c r="A6" s="266"/>
      <c r="B6" s="303"/>
      <c r="C6" s="303"/>
      <c r="D6" s="342"/>
      <c r="E6" s="303"/>
      <c r="F6" s="300"/>
    </row>
    <row r="7" spans="1:22" ht="15.6" x14ac:dyDescent="0.3">
      <c r="A7" s="268"/>
      <c r="B7" s="269" t="s">
        <v>483</v>
      </c>
      <c r="C7" s="281" t="s">
        <v>318</v>
      </c>
      <c r="D7" s="269" t="s">
        <v>511</v>
      </c>
      <c r="E7" s="291"/>
      <c r="F7" s="3" t="s">
        <v>533</v>
      </c>
    </row>
    <row r="8" spans="1:22" ht="15.6" x14ac:dyDescent="0.3">
      <c r="A8" s="268"/>
      <c r="B8" s="269" t="s">
        <v>328</v>
      </c>
      <c r="C8" s="281" t="s">
        <v>511</v>
      </c>
      <c r="D8" s="269" t="s">
        <v>318</v>
      </c>
      <c r="E8" s="291"/>
      <c r="F8" s="184" t="s">
        <v>534</v>
      </c>
    </row>
    <row r="9" spans="1:22" ht="16.2" thickBot="1" x14ac:dyDescent="0.35">
      <c r="A9" s="270" t="s">
        <v>323</v>
      </c>
      <c r="B9" s="271" t="s">
        <v>290</v>
      </c>
      <c r="C9" s="282" t="s">
        <v>446</v>
      </c>
      <c r="D9" s="271" t="s">
        <v>290</v>
      </c>
      <c r="E9" s="373" t="s">
        <v>532</v>
      </c>
      <c r="F9" s="185" t="s">
        <v>442</v>
      </c>
    </row>
    <row r="11" spans="1:22" ht="15.75" customHeight="1" x14ac:dyDescent="0.3">
      <c r="A11" s="5" t="s">
        <v>382</v>
      </c>
      <c r="B11" s="272">
        <f>+AreasofU!D122</f>
        <v>335288679</v>
      </c>
      <c r="C11" s="272">
        <f>+D11-B11</f>
        <v>3842663</v>
      </c>
      <c r="D11" s="272">
        <f>+AreasofU!F122</f>
        <v>339131342</v>
      </c>
      <c r="E11" s="275">
        <f>+(D11-B11)/B11</f>
        <v>1.1460759759204396E-2</v>
      </c>
      <c r="F11" s="275">
        <f>+C11/C28</f>
        <v>0.76577580709445991</v>
      </c>
    </row>
    <row r="12" spans="1:22" ht="15.75" customHeight="1" x14ac:dyDescent="0.25">
      <c r="C12"/>
      <c r="E12" s="299"/>
      <c r="F12" s="267"/>
    </row>
    <row r="13" spans="1:22" ht="15.75" customHeight="1" x14ac:dyDescent="0.3">
      <c r="A13" s="5" t="s">
        <v>21</v>
      </c>
      <c r="B13" s="274">
        <f>+AreasofU!D130</f>
        <v>24472940</v>
      </c>
      <c r="C13" s="386">
        <f>+D13-B13</f>
        <v>-138504</v>
      </c>
      <c r="D13" s="274">
        <f>+AreasofU!F130</f>
        <v>24334436</v>
      </c>
      <c r="E13" s="385">
        <f>+(D13-B13)/B13</f>
        <v>-5.6594753225399155E-3</v>
      </c>
      <c r="F13" s="385">
        <f>+C13/C28</f>
        <v>-2.7601434834595456E-2</v>
      </c>
    </row>
    <row r="14" spans="1:22" ht="15.75" customHeight="1" x14ac:dyDescent="0.25">
      <c r="B14" s="314"/>
      <c r="C14" s="314"/>
      <c r="D14" s="314"/>
      <c r="E14" s="299"/>
      <c r="F14" s="267"/>
    </row>
    <row r="15" spans="1:22" ht="15.75" customHeight="1" x14ac:dyDescent="0.3">
      <c r="A15" s="5" t="s">
        <v>466</v>
      </c>
      <c r="B15" s="276">
        <f>+AreasofU!D133</f>
        <v>15966085</v>
      </c>
      <c r="C15" s="276">
        <f>+D15-B15</f>
        <v>0</v>
      </c>
      <c r="D15" s="274">
        <f>+AreasofU!F133</f>
        <v>15966085</v>
      </c>
      <c r="E15" s="275">
        <f>+(D15-B15)/B15</f>
        <v>0</v>
      </c>
      <c r="F15" s="275">
        <f>+C15/C28</f>
        <v>0</v>
      </c>
    </row>
    <row r="16" spans="1:22" ht="15.75" customHeight="1" x14ac:dyDescent="0.25">
      <c r="B16" s="314"/>
      <c r="C16" s="315"/>
      <c r="D16" s="314"/>
      <c r="E16" s="308"/>
      <c r="F16" s="309"/>
    </row>
    <row r="17" spans="1:6" ht="15.75" customHeight="1" x14ac:dyDescent="0.3">
      <c r="A17" s="5" t="s">
        <v>250</v>
      </c>
      <c r="B17" s="274">
        <f>+AreasofU!D136</f>
        <v>15191191</v>
      </c>
      <c r="C17" s="274">
        <f>+D17-B17</f>
        <v>588186</v>
      </c>
      <c r="D17" s="274">
        <f>+AreasofU!F136</f>
        <v>15779377</v>
      </c>
      <c r="E17" s="275">
        <f>+(D17-B17)/B17</f>
        <v>3.8718886491519985E-2</v>
      </c>
      <c r="F17" s="275">
        <f>+C17/C28</f>
        <v>0.11721522518931846</v>
      </c>
    </row>
    <row r="18" spans="1:6" ht="15.75" customHeight="1" x14ac:dyDescent="0.25">
      <c r="B18" s="314"/>
      <c r="C18" s="315"/>
      <c r="D18" s="314"/>
      <c r="E18" s="308"/>
      <c r="F18" s="309"/>
    </row>
    <row r="19" spans="1:6" ht="15.75" customHeight="1" x14ac:dyDescent="0.3">
      <c r="A19" s="5" t="s">
        <v>377</v>
      </c>
      <c r="B19" s="274">
        <f>+AreasofU!D27</f>
        <v>13670647</v>
      </c>
      <c r="C19" s="274">
        <f>+D19-B19</f>
        <v>0</v>
      </c>
      <c r="D19" s="274">
        <f>+AreasofU!F27</f>
        <v>13670647</v>
      </c>
      <c r="E19" s="275">
        <f>+(D19-B19)/B19</f>
        <v>0</v>
      </c>
      <c r="F19" s="273">
        <f>+C19/C28</f>
        <v>0</v>
      </c>
    </row>
    <row r="20" spans="1:6" ht="15.75" customHeight="1" x14ac:dyDescent="0.25">
      <c r="B20" s="314"/>
      <c r="C20" s="314"/>
      <c r="D20" s="314"/>
      <c r="E20" s="299"/>
      <c r="F20" s="267"/>
    </row>
    <row r="21" spans="1:6" ht="15.75" customHeight="1" x14ac:dyDescent="0.3">
      <c r="A21" s="89" t="s">
        <v>258</v>
      </c>
      <c r="B21" s="276">
        <f>+AreasofU!D141</f>
        <v>6085891</v>
      </c>
      <c r="C21" s="276">
        <f>+D21-B21</f>
        <v>305728</v>
      </c>
      <c r="D21" s="274">
        <f>+AreasofU!F141</f>
        <v>6391619</v>
      </c>
      <c r="E21" s="275">
        <f>+(D21-B21)/B21</f>
        <v>5.0235536587822559E-2</v>
      </c>
      <c r="F21" s="273">
        <f>+C21/C28</f>
        <v>6.0926265444400163E-2</v>
      </c>
    </row>
    <row r="22" spans="1:6" ht="15.75" customHeight="1" x14ac:dyDescent="0.25">
      <c r="B22" s="314"/>
      <c r="C22" s="314"/>
      <c r="D22" s="314"/>
      <c r="E22" s="299"/>
      <c r="F22" s="267"/>
    </row>
    <row r="23" spans="1:6" ht="15.75" customHeight="1" x14ac:dyDescent="0.3">
      <c r="A23" s="5" t="s">
        <v>441</v>
      </c>
      <c r="B23" s="274">
        <f>+AreasofU!D19</f>
        <v>5624974</v>
      </c>
      <c r="C23" s="276">
        <f>+D23-B23</f>
        <v>416734</v>
      </c>
      <c r="D23" s="274">
        <f>+AreasofU!F19</f>
        <v>6041708</v>
      </c>
      <c r="E23" s="275">
        <f>+(D23-B23)/B23</f>
        <v>7.4086386888188277E-2</v>
      </c>
      <c r="F23" s="275">
        <f>+C23/C28</f>
        <v>8.3047827819848541E-2</v>
      </c>
    </row>
    <row r="24" spans="1:6" ht="15.75" customHeight="1" x14ac:dyDescent="0.25">
      <c r="B24" s="314"/>
      <c r="C24" s="314"/>
      <c r="D24" s="314"/>
      <c r="E24" s="299"/>
      <c r="F24" s="267"/>
    </row>
    <row r="25" spans="1:6" ht="15.75" customHeight="1" x14ac:dyDescent="0.3">
      <c r="A25" s="5" t="s">
        <v>374</v>
      </c>
      <c r="B25" s="316">
        <f>+AreasofU!D13</f>
        <v>3566593</v>
      </c>
      <c r="C25" s="316">
        <f>+D25-B25</f>
        <v>3193</v>
      </c>
      <c r="D25" s="316">
        <f>+AreasofU!F13</f>
        <v>3569786</v>
      </c>
      <c r="E25" s="355">
        <f>+(D25-B25)/B25</f>
        <v>8.9525213558149192E-4</v>
      </c>
      <c r="F25" s="355">
        <f>+C25/C28</f>
        <v>6.3630928656835395E-4</v>
      </c>
    </row>
    <row r="26" spans="1:6" ht="15.75" customHeight="1" x14ac:dyDescent="0.3">
      <c r="A26" s="5"/>
      <c r="B26" s="276"/>
      <c r="C26" s="284"/>
      <c r="D26" s="272"/>
      <c r="E26" s="275"/>
      <c r="F26" s="275"/>
    </row>
    <row r="27" spans="1:6" ht="15.75" customHeight="1" x14ac:dyDescent="0.3">
      <c r="A27" s="5"/>
      <c r="B27" s="276"/>
      <c r="C27" s="284"/>
      <c r="D27" s="272"/>
      <c r="E27" s="275"/>
      <c r="F27" s="275"/>
    </row>
    <row r="28" spans="1:6" ht="15.75" customHeight="1" thickBot="1" x14ac:dyDescent="0.35">
      <c r="A28" s="5" t="s">
        <v>316</v>
      </c>
      <c r="B28" s="277">
        <f>SUM(B11:B25)</f>
        <v>419867000</v>
      </c>
      <c r="C28" s="277">
        <f>SUM(C11:C25)</f>
        <v>5018000</v>
      </c>
      <c r="D28" s="277">
        <f>SUM(D11:D25)</f>
        <v>424885000</v>
      </c>
      <c r="E28" s="292">
        <f>+(D28-B28)/B28</f>
        <v>1.195140365877766E-2</v>
      </c>
      <c r="F28" s="292">
        <f>SUM(F11:F25)</f>
        <v>1</v>
      </c>
    </row>
    <row r="29" spans="1:6" ht="15.75" customHeight="1" thickTop="1" x14ac:dyDescent="0.3">
      <c r="A29" s="5"/>
      <c r="D29" s="238"/>
      <c r="E29" s="295"/>
    </row>
    <row r="30" spans="1:6" ht="15.75" customHeight="1" x14ac:dyDescent="0.25">
      <c r="A30" s="319" t="s">
        <v>435</v>
      </c>
      <c r="D30" s="238"/>
      <c r="E30" s="295"/>
    </row>
    <row r="31" spans="1:6" ht="15.75" customHeight="1" x14ac:dyDescent="0.3">
      <c r="A31" s="5"/>
      <c r="D31" s="238"/>
      <c r="E31" s="295"/>
    </row>
    <row r="32" spans="1:6" ht="15.75" customHeight="1" x14ac:dyDescent="0.3">
      <c r="A32" s="5"/>
      <c r="D32" s="238"/>
      <c r="E32" s="295"/>
    </row>
    <row r="33" spans="1:6" ht="15.75" customHeight="1" thickBot="1" x14ac:dyDescent="0.35">
      <c r="A33" s="5"/>
    </row>
    <row r="34" spans="1:6" ht="15.75" customHeight="1" thickBot="1" x14ac:dyDescent="0.35">
      <c r="A34" s="266"/>
      <c r="B34" s="387" t="s">
        <v>530</v>
      </c>
      <c r="C34" s="388"/>
      <c r="D34" s="388"/>
      <c r="E34" s="388"/>
      <c r="F34" s="389"/>
    </row>
    <row r="35" spans="1:6" ht="15.75" customHeight="1" x14ac:dyDescent="0.3">
      <c r="A35" s="266"/>
      <c r="B35" s="303"/>
      <c r="C35" s="303"/>
      <c r="D35" s="342"/>
      <c r="E35" s="303"/>
      <c r="F35" s="300" t="s">
        <v>444</v>
      </c>
    </row>
    <row r="36" spans="1:6" ht="15.75" customHeight="1" x14ac:dyDescent="0.3">
      <c r="A36" s="268"/>
      <c r="B36" s="269" t="s">
        <v>436</v>
      </c>
      <c r="C36" s="281" t="s">
        <v>446</v>
      </c>
      <c r="D36" s="269" t="s">
        <v>511</v>
      </c>
      <c r="E36" s="291"/>
      <c r="F36" s="300" t="s">
        <v>445</v>
      </c>
    </row>
    <row r="37" spans="1:6" ht="15.75" customHeight="1" x14ac:dyDescent="0.3">
      <c r="A37" s="268"/>
      <c r="B37" s="269" t="s">
        <v>328</v>
      </c>
      <c r="C37" s="281" t="s">
        <v>447</v>
      </c>
      <c r="D37" s="331" t="s">
        <v>318</v>
      </c>
      <c r="E37" s="291" t="s">
        <v>443</v>
      </c>
      <c r="F37" s="184" t="s">
        <v>442</v>
      </c>
    </row>
    <row r="38" spans="1:6" ht="15.75" customHeight="1" thickBot="1" x14ac:dyDescent="0.35">
      <c r="A38" s="270" t="s">
        <v>323</v>
      </c>
      <c r="B38" s="271" t="s">
        <v>290</v>
      </c>
      <c r="C38" s="282" t="s">
        <v>436</v>
      </c>
      <c r="D38" s="271" t="s">
        <v>290</v>
      </c>
      <c r="E38" s="301" t="s">
        <v>439</v>
      </c>
      <c r="F38" s="302" t="s">
        <v>439</v>
      </c>
    </row>
    <row r="39" spans="1:6" ht="15.75" customHeight="1" x14ac:dyDescent="0.25"/>
    <row r="40" spans="1:6" ht="15.75" customHeight="1" x14ac:dyDescent="0.3">
      <c r="A40" s="5" t="s">
        <v>382</v>
      </c>
      <c r="B40" s="272">
        <f>228341009+65102386</f>
        <v>293443395</v>
      </c>
      <c r="C40" s="272">
        <f>+D40-B40</f>
        <v>45687947</v>
      </c>
      <c r="D40" s="272">
        <f>+D11</f>
        <v>339131342</v>
      </c>
      <c r="E40" s="275">
        <f>+(D40-B40)/B40</f>
        <v>0.15569594606142012</v>
      </c>
      <c r="F40" s="275">
        <f>+C40/C56</f>
        <v>0.83243048191673497</v>
      </c>
    </row>
    <row r="41" spans="1:6" ht="15.75" customHeight="1" x14ac:dyDescent="0.25">
      <c r="C41"/>
      <c r="E41" s="267"/>
      <c r="F41" s="267"/>
    </row>
    <row r="42" spans="1:6" ht="15.75" customHeight="1" x14ac:dyDescent="0.3">
      <c r="A42" s="5" t="s">
        <v>21</v>
      </c>
      <c r="B42" s="276">
        <f>38365383+1388819-12180025-1388819-968975</f>
        <v>25216383</v>
      </c>
      <c r="C42" s="317">
        <f>+D42-B42</f>
        <v>-881947</v>
      </c>
      <c r="D42" s="276">
        <f>+D13</f>
        <v>24334436</v>
      </c>
      <c r="E42" s="298">
        <f>+(D42-B42)/B42</f>
        <v>-3.4975158808461942E-2</v>
      </c>
      <c r="F42" s="298">
        <f>+C42/C56</f>
        <v>-1.6068998815705567E-2</v>
      </c>
    </row>
    <row r="43" spans="1:6" ht="15.75" customHeight="1" x14ac:dyDescent="0.25">
      <c r="B43" s="314"/>
      <c r="C43" s="314"/>
      <c r="D43" s="314"/>
      <c r="E43" s="267"/>
      <c r="F43" s="267"/>
    </row>
    <row r="44" spans="1:6" ht="15.75" customHeight="1" x14ac:dyDescent="0.3">
      <c r="A44" s="5" t="s">
        <v>466</v>
      </c>
      <c r="B44" s="274">
        <f>968975+12180025</f>
        <v>13149000</v>
      </c>
      <c r="C44" s="274">
        <f>+D44-B44</f>
        <v>2817085</v>
      </c>
      <c r="D44" s="274">
        <f>+D15</f>
        <v>15966085</v>
      </c>
      <c r="E44" s="275">
        <f>+(D44-B44)/B44</f>
        <v>0.21424328846300097</v>
      </c>
      <c r="F44" s="275">
        <f>+C44/C56</f>
        <v>5.1327047462876925E-2</v>
      </c>
    </row>
    <row r="45" spans="1:6" ht="15.75" customHeight="1" x14ac:dyDescent="0.25">
      <c r="B45" s="314"/>
      <c r="C45" s="314"/>
      <c r="D45" s="314"/>
      <c r="E45" s="267"/>
      <c r="F45" s="267"/>
    </row>
    <row r="46" spans="1:6" ht="15.75" customHeight="1" x14ac:dyDescent="0.3">
      <c r="A46" s="5" t="s">
        <v>250</v>
      </c>
      <c r="B46" s="274">
        <v>13907246</v>
      </c>
      <c r="C46" s="274">
        <f>+D46-B46</f>
        <v>1872131</v>
      </c>
      <c r="D46" s="274">
        <f>+D17</f>
        <v>15779377</v>
      </c>
      <c r="E46" s="275">
        <f>+(D46-B46)/B46</f>
        <v>0.13461550906628098</v>
      </c>
      <c r="F46" s="275">
        <f>+C46/C56</f>
        <v>3.4110066502687435E-2</v>
      </c>
    </row>
    <row r="47" spans="1:6" ht="15.75" customHeight="1" x14ac:dyDescent="0.25">
      <c r="B47" s="314"/>
      <c r="C47" s="314"/>
      <c r="D47" s="314"/>
      <c r="E47" s="267"/>
      <c r="F47" s="267"/>
    </row>
    <row r="48" spans="1:6" ht="15.75" customHeight="1" x14ac:dyDescent="0.3">
      <c r="A48" s="5" t="s">
        <v>377</v>
      </c>
      <c r="B48" s="274">
        <v>10589226</v>
      </c>
      <c r="C48" s="274">
        <f>+D48-B48</f>
        <v>3081421</v>
      </c>
      <c r="D48" s="274">
        <f>+D19</f>
        <v>13670647</v>
      </c>
      <c r="E48" s="275">
        <f>+(D48-B48)/B48</f>
        <v>0.29099586693116192</v>
      </c>
      <c r="F48" s="275">
        <f>+C48/C56</f>
        <v>5.6143226746834293E-2</v>
      </c>
    </row>
    <row r="49" spans="1:6" ht="15.75" customHeight="1" x14ac:dyDescent="0.3">
      <c r="B49" s="314"/>
      <c r="C49" s="314"/>
      <c r="D49" s="314"/>
      <c r="E49" s="267"/>
      <c r="F49" s="275"/>
    </row>
    <row r="50" spans="1:6" ht="15.75" customHeight="1" x14ac:dyDescent="0.3">
      <c r="A50" s="89" t="s">
        <v>258</v>
      </c>
      <c r="B50" s="276">
        <v>5970641</v>
      </c>
      <c r="C50" s="276">
        <f>+D50-B50</f>
        <v>420978</v>
      </c>
      <c r="D50" s="276">
        <f>+D21</f>
        <v>6391619</v>
      </c>
      <c r="E50" s="275">
        <f>+(D50-B50)/B50</f>
        <v>7.0508007431697869E-2</v>
      </c>
      <c r="F50" s="275">
        <f>+C50/C56</f>
        <v>7.6701831101393825E-3</v>
      </c>
    </row>
    <row r="51" spans="1:6" ht="15.75" customHeight="1" x14ac:dyDescent="0.3">
      <c r="B51" s="314"/>
      <c r="C51" s="314"/>
      <c r="D51" s="314"/>
      <c r="E51" s="267"/>
      <c r="F51" s="275"/>
    </row>
    <row r="52" spans="1:6" ht="15.75" customHeight="1" x14ac:dyDescent="0.3">
      <c r="A52" s="5" t="s">
        <v>441</v>
      </c>
      <c r="B52" s="274">
        <v>3336717</v>
      </c>
      <c r="C52" s="274">
        <f>+D52-B52</f>
        <v>2704991</v>
      </c>
      <c r="D52" s="274">
        <f>+D23</f>
        <v>6041708</v>
      </c>
      <c r="E52" s="275">
        <f>+(D52-B52)/B52</f>
        <v>0.81067438443236273</v>
      </c>
      <c r="F52" s="275">
        <f>+C52/C56</f>
        <v>4.9284704381889408E-2</v>
      </c>
    </row>
    <row r="53" spans="1:6" ht="15.75" customHeight="1" x14ac:dyDescent="0.3">
      <c r="B53" s="314"/>
      <c r="C53" s="314"/>
      <c r="D53" s="314"/>
      <c r="E53" s="267"/>
      <c r="F53" s="275"/>
    </row>
    <row r="54" spans="1:6" ht="15.75" customHeight="1" x14ac:dyDescent="0.3">
      <c r="A54" s="5" t="s">
        <v>374</v>
      </c>
      <c r="B54" s="316">
        <v>4387392</v>
      </c>
      <c r="C54" s="318">
        <f>+D54-B54</f>
        <v>-817606</v>
      </c>
      <c r="D54" s="316">
        <f>+D25</f>
        <v>3569786</v>
      </c>
      <c r="E54" s="294">
        <f>+(D54-B54)/B54</f>
        <v>-0.18635353303283592</v>
      </c>
      <c r="F54" s="294">
        <f>+C54/C56</f>
        <v>-1.4896711305456865E-2</v>
      </c>
    </row>
    <row r="55" spans="1:6" ht="15.75" customHeight="1" x14ac:dyDescent="0.3">
      <c r="C55"/>
      <c r="E55" s="267"/>
      <c r="F55" s="275"/>
    </row>
    <row r="56" spans="1:6" ht="15.75" customHeight="1" thickBot="1" x14ac:dyDescent="0.35">
      <c r="A56" s="5" t="s">
        <v>316</v>
      </c>
      <c r="B56" s="277">
        <f>SUM(B40:B55)</f>
        <v>370000000</v>
      </c>
      <c r="C56" s="277">
        <f>SUM(C40:C55)</f>
        <v>54885000</v>
      </c>
      <c r="D56" s="277">
        <f>SUM(D40:D55)</f>
        <v>424885000</v>
      </c>
      <c r="E56" s="292">
        <f>+(D56-B56)/B56</f>
        <v>0.14833783783783783</v>
      </c>
      <c r="F56" s="292">
        <f>SUM(F40:F55)</f>
        <v>0.99999999999999989</v>
      </c>
    </row>
    <row r="57" spans="1:6" ht="15.75" customHeight="1" thickTop="1" x14ac:dyDescent="0.25"/>
    <row r="58" spans="1:6" ht="15.75" customHeight="1" x14ac:dyDescent="0.25">
      <c r="A58" s="319"/>
    </row>
    <row r="59" spans="1:6" ht="15.75" customHeight="1" x14ac:dyDescent="0.3">
      <c r="B59" s="156"/>
      <c r="C59" s="256"/>
      <c r="D59" s="162"/>
      <c r="F59" s="162"/>
    </row>
    <row r="60" spans="1:6" ht="15.75" customHeight="1" x14ac:dyDescent="0.25"/>
    <row r="61" spans="1:6" ht="15.75" customHeight="1" x14ac:dyDescent="0.25"/>
    <row r="62" spans="1:6" ht="15.75" customHeight="1" x14ac:dyDescent="0.25">
      <c r="A62" s="347"/>
      <c r="B62" s="347"/>
      <c r="C62" s="348"/>
      <c r="D62" s="347"/>
      <c r="E62" s="349"/>
      <c r="F62" s="347"/>
    </row>
    <row r="63" spans="1:6" ht="15.75" customHeight="1" x14ac:dyDescent="0.25"/>
    <row r="64" spans="1:6" x14ac:dyDescent="0.25">
      <c r="A64" s="2" t="s">
        <v>441</v>
      </c>
      <c r="B64" s="267">
        <v>7.3999999999999996E-2</v>
      </c>
      <c r="D64" s="2" t="s">
        <v>531</v>
      </c>
      <c r="E64" s="267">
        <v>0.76600000000000001</v>
      </c>
    </row>
    <row r="65" spans="1:5" x14ac:dyDescent="0.25">
      <c r="A65" s="340" t="s">
        <v>258</v>
      </c>
      <c r="B65" s="267">
        <v>0.05</v>
      </c>
      <c r="D65" s="2" t="s">
        <v>250</v>
      </c>
      <c r="E65" s="267">
        <v>0.11700000000000001</v>
      </c>
    </row>
    <row r="66" spans="1:5" x14ac:dyDescent="0.25">
      <c r="A66" s="2" t="s">
        <v>250</v>
      </c>
      <c r="B66" s="267">
        <v>3.9E-2</v>
      </c>
      <c r="D66" s="2" t="s">
        <v>441</v>
      </c>
      <c r="E66" s="267">
        <v>8.3000000000000004E-2</v>
      </c>
    </row>
    <row r="67" spans="1:5" x14ac:dyDescent="0.25">
      <c r="A67" s="2" t="s">
        <v>382</v>
      </c>
      <c r="B67" s="267">
        <v>1.0999999999999999E-2</v>
      </c>
      <c r="D67" s="340" t="s">
        <v>258</v>
      </c>
      <c r="E67" s="267">
        <v>6.0999999999999999E-2</v>
      </c>
    </row>
    <row r="68" spans="1:5" x14ac:dyDescent="0.25">
      <c r="A68" s="2" t="s">
        <v>374</v>
      </c>
      <c r="B68" s="267">
        <v>1E-3</v>
      </c>
      <c r="D68" s="2" t="s">
        <v>374</v>
      </c>
      <c r="E68" s="267">
        <v>1E-3</v>
      </c>
    </row>
    <row r="69" spans="1:5" x14ac:dyDescent="0.25">
      <c r="A69" s="2" t="s">
        <v>377</v>
      </c>
      <c r="B69" s="267">
        <v>0</v>
      </c>
      <c r="D69" s="2" t="s">
        <v>377</v>
      </c>
      <c r="E69" s="267">
        <v>0</v>
      </c>
    </row>
    <row r="70" spans="1:5" x14ac:dyDescent="0.25">
      <c r="A70" s="2" t="s">
        <v>438</v>
      </c>
      <c r="B70" s="267">
        <v>0</v>
      </c>
      <c r="D70" s="2" t="s">
        <v>438</v>
      </c>
      <c r="E70" s="267">
        <v>0</v>
      </c>
    </row>
    <row r="71" spans="1:5" x14ac:dyDescent="0.25">
      <c r="A71" s="2" t="s">
        <v>21</v>
      </c>
      <c r="B71" s="267">
        <v>-6.0000000000000001E-3</v>
      </c>
      <c r="D71" s="2" t="s">
        <v>21</v>
      </c>
      <c r="E71" s="267">
        <v>-2.8000000000000001E-2</v>
      </c>
    </row>
    <row r="72" spans="1:5" x14ac:dyDescent="0.25">
      <c r="B72" s="267"/>
    </row>
    <row r="74" spans="1:5" x14ac:dyDescent="0.25">
      <c r="B74" s="267"/>
    </row>
    <row r="75" spans="1:5" x14ac:dyDescent="0.25">
      <c r="A75" s="2" t="s">
        <v>441</v>
      </c>
      <c r="B75" s="267">
        <v>0.81100000000000005</v>
      </c>
      <c r="D75" s="2" t="s">
        <v>382</v>
      </c>
      <c r="E75" s="267">
        <v>0.83199999999999996</v>
      </c>
    </row>
    <row r="76" spans="1:5" x14ac:dyDescent="0.25">
      <c r="A76" s="2" t="s">
        <v>377</v>
      </c>
      <c r="B76" s="267">
        <v>0.29099999999999998</v>
      </c>
      <c r="D76" s="2" t="s">
        <v>377</v>
      </c>
      <c r="E76" s="267">
        <v>5.6000000000000001E-2</v>
      </c>
    </row>
    <row r="77" spans="1:5" x14ac:dyDescent="0.25">
      <c r="A77" s="2" t="s">
        <v>438</v>
      </c>
      <c r="B77" s="267">
        <v>0.214</v>
      </c>
      <c r="D77" s="2" t="s">
        <v>438</v>
      </c>
      <c r="E77" s="267">
        <v>5.0999999999999997E-2</v>
      </c>
    </row>
    <row r="78" spans="1:5" x14ac:dyDescent="0.25">
      <c r="A78" s="2" t="s">
        <v>382</v>
      </c>
      <c r="B78" s="267">
        <v>0.156</v>
      </c>
      <c r="D78" s="2" t="s">
        <v>441</v>
      </c>
      <c r="E78" s="267">
        <v>4.9000000000000002E-2</v>
      </c>
    </row>
    <row r="79" spans="1:5" x14ac:dyDescent="0.25">
      <c r="A79" s="2" t="s">
        <v>250</v>
      </c>
      <c r="B79" s="267">
        <v>0.13500000000000001</v>
      </c>
      <c r="D79" s="2" t="s">
        <v>250</v>
      </c>
      <c r="E79" s="267">
        <v>3.4000000000000002E-2</v>
      </c>
    </row>
    <row r="80" spans="1:5" x14ac:dyDescent="0.25">
      <c r="A80" s="340" t="s">
        <v>258</v>
      </c>
      <c r="B80" s="267">
        <v>7.0999999999999994E-2</v>
      </c>
      <c r="D80" s="340" t="s">
        <v>258</v>
      </c>
      <c r="E80" s="267">
        <v>8.0000000000000002E-3</v>
      </c>
    </row>
    <row r="81" spans="1:5" x14ac:dyDescent="0.25">
      <c r="A81" s="2" t="s">
        <v>21</v>
      </c>
      <c r="B81" s="267">
        <v>-3.5000000000000003E-2</v>
      </c>
      <c r="D81" s="2" t="s">
        <v>374</v>
      </c>
      <c r="E81" s="267">
        <v>-1.4999999999999999E-2</v>
      </c>
    </row>
    <row r="82" spans="1:5" x14ac:dyDescent="0.25">
      <c r="A82" s="2" t="s">
        <v>374</v>
      </c>
      <c r="B82" s="267">
        <v>-0.186</v>
      </c>
      <c r="D82" s="2" t="s">
        <v>21</v>
      </c>
      <c r="E82" s="267">
        <v>-1.6E-2</v>
      </c>
    </row>
    <row r="83" spans="1:5" x14ac:dyDescent="0.25">
      <c r="B83" s="267"/>
    </row>
  </sheetData>
  <mergeCells count="3">
    <mergeCell ref="B5:F5"/>
    <mergeCell ref="B34:F34"/>
    <mergeCell ref="A1:V1"/>
  </mergeCells>
  <printOptions horizontalCentered="1"/>
  <pageMargins left="0.2" right="0.2" top="0.8" bottom="0.3" header="0.3" footer="0.3"/>
  <pageSetup scale="45" orientation="landscape" r:id="rId1"/>
  <ignoredErrors>
    <ignoredError sqref="E56 E28" formula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E31"/>
  <sheetViews>
    <sheetView workbookViewId="0">
      <selection activeCell="D11" sqref="D11"/>
    </sheetView>
  </sheetViews>
  <sheetFormatPr defaultRowHeight="13.2" x14ac:dyDescent="0.25"/>
  <cols>
    <col min="1" max="1" width="11.6640625" customWidth="1"/>
    <col min="2" max="2" width="52.6640625" customWidth="1"/>
    <col min="3" max="3" width="17.6640625" customWidth="1"/>
    <col min="4" max="4" width="17.6640625" style="215" customWidth="1"/>
    <col min="5" max="6" width="17.6640625" customWidth="1"/>
  </cols>
  <sheetData>
    <row r="1" spans="1:5" ht="15.6" x14ac:dyDescent="0.3">
      <c r="A1" s="5" t="s">
        <v>261</v>
      </c>
    </row>
    <row r="2" spans="1:5" ht="15.6" x14ac:dyDescent="0.3">
      <c r="A2" s="5" t="s">
        <v>510</v>
      </c>
    </row>
    <row r="3" spans="1:5" ht="13.8" thickBot="1" x14ac:dyDescent="0.3"/>
    <row r="4" spans="1:5" ht="15.6" x14ac:dyDescent="0.3">
      <c r="A4" s="413" t="s">
        <v>162</v>
      </c>
      <c r="B4" s="414"/>
      <c r="C4" s="94" t="s">
        <v>483</v>
      </c>
      <c r="D4" s="356"/>
      <c r="E4" s="362" t="s">
        <v>511</v>
      </c>
    </row>
    <row r="5" spans="1:5" ht="15.6" x14ac:dyDescent="0.3">
      <c r="A5" s="60"/>
      <c r="B5" s="61"/>
      <c r="C5" s="93" t="s">
        <v>345</v>
      </c>
      <c r="D5" s="358"/>
      <c r="E5" s="363" t="s">
        <v>342</v>
      </c>
    </row>
    <row r="6" spans="1:5" ht="16.2" thickBot="1" x14ac:dyDescent="0.35">
      <c r="A6" s="13"/>
      <c r="B6" s="14"/>
      <c r="C6" s="14" t="s">
        <v>290</v>
      </c>
      <c r="D6" s="360" t="s">
        <v>493</v>
      </c>
      <c r="E6" s="364" t="s">
        <v>290</v>
      </c>
    </row>
    <row r="7" spans="1:5" ht="13.8" x14ac:dyDescent="0.25">
      <c r="A7" s="62">
        <v>71103</v>
      </c>
      <c r="B7" s="78" t="s">
        <v>32</v>
      </c>
      <c r="C7" s="25"/>
      <c r="D7" s="216"/>
      <c r="E7" s="25"/>
    </row>
    <row r="8" spans="1:5" x14ac:dyDescent="0.25">
      <c r="A8" s="20">
        <v>542970</v>
      </c>
      <c r="B8" s="9" t="s">
        <v>133</v>
      </c>
      <c r="C8" s="64">
        <v>150000</v>
      </c>
      <c r="D8" s="365"/>
      <c r="E8" s="64">
        <f>SUM(C8:D8)</f>
        <v>150000</v>
      </c>
    </row>
    <row r="9" spans="1:5" x14ac:dyDescent="0.25">
      <c r="A9" s="20">
        <v>542960</v>
      </c>
      <c r="B9" s="26" t="s">
        <v>31</v>
      </c>
      <c r="C9" s="64">
        <v>52500</v>
      </c>
      <c r="D9" s="365">
        <v>-42000</v>
      </c>
      <c r="E9" s="64">
        <f>SUM(C9:D9)</f>
        <v>10500</v>
      </c>
    </row>
    <row r="10" spans="1:5" x14ac:dyDescent="0.25">
      <c r="A10" s="20">
        <v>542980</v>
      </c>
      <c r="B10" s="9" t="s">
        <v>134</v>
      </c>
      <c r="C10" s="64">
        <v>213000</v>
      </c>
      <c r="D10" s="365">
        <v>-6223</v>
      </c>
      <c r="E10" s="64">
        <f>SUM(C10:D10)</f>
        <v>206777</v>
      </c>
    </row>
    <row r="11" spans="1:5" x14ac:dyDescent="0.25">
      <c r="A11" s="30"/>
      <c r="B11" s="6" t="s">
        <v>9</v>
      </c>
      <c r="C11" s="65">
        <f>SUM(C8:C10)</f>
        <v>415500</v>
      </c>
      <c r="D11" s="366">
        <f>SUM(D8:D10)</f>
        <v>-48223</v>
      </c>
      <c r="E11" s="65">
        <f>SUM(E8:E10)</f>
        <v>367277</v>
      </c>
    </row>
    <row r="12" spans="1:5" x14ac:dyDescent="0.25">
      <c r="A12" s="30"/>
      <c r="B12" s="6"/>
      <c r="C12" s="64"/>
      <c r="D12" s="365"/>
      <c r="E12" s="64"/>
    </row>
    <row r="13" spans="1:5" ht="13.8" x14ac:dyDescent="0.25">
      <c r="A13" s="31"/>
      <c r="B13" s="45" t="s">
        <v>81</v>
      </c>
      <c r="C13" s="67">
        <f>SUM(C11)</f>
        <v>415500</v>
      </c>
      <c r="D13" s="367">
        <f>SUM(D11)</f>
        <v>-48223</v>
      </c>
      <c r="E13" s="67">
        <f>SUM(E11)</f>
        <v>367277</v>
      </c>
    </row>
    <row r="14" spans="1:5" x14ac:dyDescent="0.25">
      <c r="A14" s="32"/>
      <c r="B14" s="9"/>
      <c r="C14" s="64"/>
      <c r="D14" s="365"/>
      <c r="E14" s="64"/>
    </row>
    <row r="15" spans="1:5" ht="13.8" x14ac:dyDescent="0.25">
      <c r="A15" s="63">
        <v>72221</v>
      </c>
      <c r="B15" s="45" t="s">
        <v>37</v>
      </c>
      <c r="C15" s="64"/>
      <c r="D15" s="365"/>
      <c r="E15" s="64"/>
    </row>
    <row r="16" spans="1:5" x14ac:dyDescent="0.25">
      <c r="A16" s="20">
        <v>532000</v>
      </c>
      <c r="B16" s="9" t="s">
        <v>94</v>
      </c>
      <c r="C16" s="64">
        <v>455</v>
      </c>
      <c r="D16" s="365"/>
      <c r="E16" s="64">
        <f>SUM(C16:D16)</f>
        <v>455</v>
      </c>
    </row>
    <row r="17" spans="1:5" x14ac:dyDescent="0.25">
      <c r="A17" s="6"/>
      <c r="B17" s="6" t="s">
        <v>4</v>
      </c>
      <c r="C17" s="65">
        <f>SUM(C16:C16)</f>
        <v>455</v>
      </c>
      <c r="D17" s="366">
        <f>SUM(D16:D16)</f>
        <v>0</v>
      </c>
      <c r="E17" s="65">
        <f>SUM(E16:E16)</f>
        <v>455</v>
      </c>
    </row>
    <row r="18" spans="1:5" x14ac:dyDescent="0.25">
      <c r="A18" s="20"/>
      <c r="B18" s="9"/>
      <c r="C18" s="64"/>
      <c r="D18" s="365"/>
      <c r="E18" s="64"/>
    </row>
    <row r="19" spans="1:5" x14ac:dyDescent="0.25">
      <c r="A19" s="20">
        <v>543500</v>
      </c>
      <c r="B19" s="9" t="s">
        <v>6</v>
      </c>
      <c r="C19" s="64">
        <v>7900</v>
      </c>
      <c r="D19" s="365"/>
      <c r="E19" s="64">
        <f>SUM(C19:D19)</f>
        <v>7900</v>
      </c>
    </row>
    <row r="20" spans="1:5" x14ac:dyDescent="0.25">
      <c r="A20" s="20">
        <v>542900</v>
      </c>
      <c r="B20" s="9" t="s">
        <v>100</v>
      </c>
      <c r="C20" s="64">
        <v>2400</v>
      </c>
      <c r="D20" s="365"/>
      <c r="E20" s="64">
        <f>SUM(C20:D20)</f>
        <v>2400</v>
      </c>
    </row>
    <row r="21" spans="1:5" x14ac:dyDescent="0.25">
      <c r="A21" s="20">
        <v>542950</v>
      </c>
      <c r="B21" s="9" t="s">
        <v>29</v>
      </c>
      <c r="C21" s="64">
        <v>400</v>
      </c>
      <c r="D21" s="365"/>
      <c r="E21" s="64">
        <f>SUM(C21:D21)</f>
        <v>400</v>
      </c>
    </row>
    <row r="22" spans="1:5" x14ac:dyDescent="0.25">
      <c r="A22" s="20">
        <v>543200</v>
      </c>
      <c r="B22" s="9" t="s">
        <v>8</v>
      </c>
      <c r="C22" s="64">
        <v>2664</v>
      </c>
      <c r="D22" s="365"/>
      <c r="E22" s="64">
        <f>SUM(C22:D22)</f>
        <v>2664</v>
      </c>
    </row>
    <row r="23" spans="1:5" x14ac:dyDescent="0.25">
      <c r="A23" s="6"/>
      <c r="B23" s="6" t="s">
        <v>9</v>
      </c>
      <c r="C23" s="65">
        <f>SUM(C19:C22)</f>
        <v>13364</v>
      </c>
      <c r="D23" s="366">
        <f>SUM(D19:D22)</f>
        <v>0</v>
      </c>
      <c r="E23" s="65">
        <f>SUM(E19:E22)</f>
        <v>13364</v>
      </c>
    </row>
    <row r="24" spans="1:5" x14ac:dyDescent="0.25">
      <c r="A24" s="20"/>
      <c r="B24" s="9"/>
      <c r="C24" s="64"/>
      <c r="D24" s="365"/>
      <c r="E24" s="64"/>
    </row>
    <row r="25" spans="1:5" x14ac:dyDescent="0.25">
      <c r="A25" s="20">
        <v>552400</v>
      </c>
      <c r="B25" s="9" t="s">
        <v>11</v>
      </c>
      <c r="C25" s="64">
        <f>28911+4800</f>
        <v>33711</v>
      </c>
      <c r="D25" s="365"/>
      <c r="E25" s="64">
        <f>SUM(C25:D25)</f>
        <v>33711</v>
      </c>
    </row>
    <row r="26" spans="1:5" x14ac:dyDescent="0.25">
      <c r="A26" s="57"/>
      <c r="B26" s="6" t="s">
        <v>12</v>
      </c>
      <c r="C26" s="65">
        <f>SUM(C25)</f>
        <v>33711</v>
      </c>
      <c r="D26" s="366">
        <f>SUM(D25)</f>
        <v>0</v>
      </c>
      <c r="E26" s="65">
        <f>SUM(E25)</f>
        <v>33711</v>
      </c>
    </row>
    <row r="27" spans="1:5" x14ac:dyDescent="0.25">
      <c r="A27" s="9"/>
      <c r="B27" s="9"/>
      <c r="C27" s="64"/>
      <c r="D27" s="365"/>
      <c r="E27" s="64"/>
    </row>
    <row r="28" spans="1:5" ht="13.8" x14ac:dyDescent="0.25">
      <c r="A28" s="9"/>
      <c r="B28" s="24" t="s">
        <v>82</v>
      </c>
      <c r="C28" s="67">
        <f>SUM(C17+C23+C26)</f>
        <v>47530</v>
      </c>
      <c r="D28" s="367">
        <f>SUM(D17+D23+D26)</f>
        <v>0</v>
      </c>
      <c r="E28" s="67">
        <f>SUM(E17+E23+E26)</f>
        <v>47530</v>
      </c>
    </row>
    <row r="29" spans="1:5" x14ac:dyDescent="0.25">
      <c r="A29" s="9"/>
      <c r="B29" s="9"/>
      <c r="C29" s="64"/>
      <c r="D29" s="365"/>
      <c r="E29" s="64"/>
    </row>
    <row r="30" spans="1:5" x14ac:dyDescent="0.25">
      <c r="A30" s="9"/>
      <c r="B30" s="9"/>
      <c r="C30" s="64"/>
      <c r="D30" s="365"/>
      <c r="E30" s="64"/>
    </row>
    <row r="31" spans="1:5" s="23" customFormat="1" ht="15.6" x14ac:dyDescent="0.3">
      <c r="A31" s="12" t="s">
        <v>163</v>
      </c>
      <c r="B31" s="12"/>
      <c r="C31" s="70">
        <f>SUM(C13+C28)</f>
        <v>463030</v>
      </c>
      <c r="D31" s="368">
        <f>SUM(D13+D28)</f>
        <v>-48223</v>
      </c>
      <c r="E31" s="70">
        <f>SUM(E13+E28)</f>
        <v>414807</v>
      </c>
    </row>
  </sheetData>
  <mergeCells count="1">
    <mergeCell ref="A4:B4"/>
  </mergeCells>
  <phoneticPr fontId="0" type="noConversion"/>
  <printOptions horizontalCentered="1"/>
  <pageMargins left="0.75" right="0.75" top="1" bottom="1" header="0.5" footer="0.5"/>
  <pageSetup scale="77" firstPageNumber="9" orientation="portrait" useFirstPageNumber="1" r:id="rId1"/>
  <headerFooter alignWithMargins="0">
    <oddFooter>&amp;C&amp;"Arial,Bold"&amp;P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E39"/>
  <sheetViews>
    <sheetView workbookViewId="0">
      <selection activeCell="D14" sqref="D14"/>
    </sheetView>
  </sheetViews>
  <sheetFormatPr defaultRowHeight="13.2" x14ac:dyDescent="0.25"/>
  <cols>
    <col min="1" max="1" width="11.6640625" customWidth="1"/>
    <col min="2" max="2" width="52.6640625" customWidth="1"/>
    <col min="3" max="3" width="17.6640625" customWidth="1"/>
    <col min="4" max="4" width="17.6640625" style="215" customWidth="1"/>
    <col min="5" max="5" width="17.6640625" customWidth="1"/>
  </cols>
  <sheetData>
    <row r="1" spans="1:5" ht="15.6" x14ac:dyDescent="0.3">
      <c r="A1" s="5" t="s">
        <v>261</v>
      </c>
    </row>
    <row r="2" spans="1:5" ht="15.6" x14ac:dyDescent="0.3">
      <c r="A2" s="5" t="s">
        <v>510</v>
      </c>
    </row>
    <row r="3" spans="1:5" ht="13.8" thickBot="1" x14ac:dyDescent="0.3"/>
    <row r="4" spans="1:5" ht="15.6" x14ac:dyDescent="0.3">
      <c r="A4" s="413" t="s">
        <v>131</v>
      </c>
      <c r="B4" s="414"/>
      <c r="C4" s="94" t="s">
        <v>483</v>
      </c>
      <c r="D4" s="356"/>
      <c r="E4" s="362" t="s">
        <v>511</v>
      </c>
    </row>
    <row r="5" spans="1:5" ht="15.6" x14ac:dyDescent="0.3">
      <c r="A5" s="60"/>
      <c r="B5" s="61"/>
      <c r="C5" s="93" t="s">
        <v>345</v>
      </c>
      <c r="D5" s="358"/>
      <c r="E5" s="363" t="s">
        <v>342</v>
      </c>
    </row>
    <row r="6" spans="1:5" ht="16.2" thickBot="1" x14ac:dyDescent="0.35">
      <c r="A6" s="13"/>
      <c r="B6" s="14"/>
      <c r="C6" s="14" t="s">
        <v>290</v>
      </c>
      <c r="D6" s="360" t="s">
        <v>493</v>
      </c>
      <c r="E6" s="364" t="s">
        <v>290</v>
      </c>
    </row>
    <row r="7" spans="1:5" ht="13.8" x14ac:dyDescent="0.25">
      <c r="A7" s="62">
        <v>71104</v>
      </c>
      <c r="B7" s="78" t="s">
        <v>32</v>
      </c>
      <c r="C7" s="25"/>
      <c r="D7" s="216"/>
      <c r="E7" s="25"/>
    </row>
    <row r="8" spans="1:5" hidden="1" x14ac:dyDescent="0.25">
      <c r="A8" s="20">
        <v>532200</v>
      </c>
      <c r="B8" s="26" t="s">
        <v>132</v>
      </c>
      <c r="C8" s="64">
        <f>5000-5000</f>
        <v>0</v>
      </c>
      <c r="D8" s="207"/>
      <c r="E8" s="64">
        <f>+C8+D8</f>
        <v>0</v>
      </c>
    </row>
    <row r="9" spans="1:5" hidden="1" x14ac:dyDescent="0.25">
      <c r="A9" s="6"/>
      <c r="B9" s="6" t="s">
        <v>4</v>
      </c>
      <c r="C9" s="65">
        <f>SUM(C8)</f>
        <v>0</v>
      </c>
      <c r="D9" s="208">
        <f>SUM(D8)</f>
        <v>0</v>
      </c>
      <c r="E9" s="65">
        <f>SUM(E8)</f>
        <v>0</v>
      </c>
    </row>
    <row r="10" spans="1:5" hidden="1" x14ac:dyDescent="0.25">
      <c r="A10" s="20"/>
      <c r="B10" s="28"/>
      <c r="C10" s="64"/>
      <c r="D10" s="207"/>
      <c r="E10" s="64"/>
    </row>
    <row r="11" spans="1:5" x14ac:dyDescent="0.25">
      <c r="A11" s="20">
        <v>542970</v>
      </c>
      <c r="B11" s="26" t="s">
        <v>133</v>
      </c>
      <c r="C11" s="64">
        <v>212000</v>
      </c>
      <c r="D11" s="207"/>
      <c r="E11" s="64">
        <f>SUM(C11:D11)</f>
        <v>212000</v>
      </c>
    </row>
    <row r="12" spans="1:5" x14ac:dyDescent="0.25">
      <c r="A12" s="20">
        <v>542960</v>
      </c>
      <c r="B12" s="26" t="s">
        <v>31</v>
      </c>
      <c r="C12" s="64">
        <f>59750+164500</f>
        <v>224250</v>
      </c>
      <c r="D12" s="369">
        <v>-45000</v>
      </c>
      <c r="E12" s="64">
        <f>SUM(C12:D12)</f>
        <v>179250</v>
      </c>
    </row>
    <row r="13" spans="1:5" x14ac:dyDescent="0.25">
      <c r="A13" s="20">
        <v>542980</v>
      </c>
      <c r="B13" s="26" t="s">
        <v>134</v>
      </c>
      <c r="C13" s="64">
        <v>525000</v>
      </c>
      <c r="D13" s="207">
        <v>-15338</v>
      </c>
      <c r="E13" s="64">
        <f>SUM(C13:D13)</f>
        <v>509662</v>
      </c>
    </row>
    <row r="14" spans="1:5" x14ac:dyDescent="0.25">
      <c r="A14" s="29"/>
      <c r="B14" s="6" t="s">
        <v>9</v>
      </c>
      <c r="C14" s="65">
        <f>SUM(C11:C13)</f>
        <v>961250</v>
      </c>
      <c r="D14" s="208">
        <f>SUM(D11:D13)</f>
        <v>-60338</v>
      </c>
      <c r="E14" s="65">
        <f>SUM(E11:E13)</f>
        <v>900912</v>
      </c>
    </row>
    <row r="15" spans="1:5" x14ac:dyDescent="0.25">
      <c r="A15" s="32"/>
      <c r="B15" s="28"/>
      <c r="C15" s="64"/>
      <c r="D15" s="207"/>
      <c r="E15" s="64"/>
    </row>
    <row r="16" spans="1:5" s="3" customFormat="1" ht="13.8" x14ac:dyDescent="0.25">
      <c r="A16" s="6"/>
      <c r="B16" s="45" t="s">
        <v>81</v>
      </c>
      <c r="C16" s="77">
        <f>SUM(C9+C14)</f>
        <v>961250</v>
      </c>
      <c r="D16" s="219">
        <f>SUM(D9+D14)</f>
        <v>-60338</v>
      </c>
      <c r="E16" s="77">
        <f>SUM(E9+E14)</f>
        <v>900912</v>
      </c>
    </row>
    <row r="17" spans="1:5" x14ac:dyDescent="0.25">
      <c r="A17" s="33"/>
      <c r="B17" s="9"/>
      <c r="C17" s="64"/>
      <c r="D17" s="207"/>
      <c r="E17" s="64"/>
    </row>
    <row r="18" spans="1:5" ht="13.8" x14ac:dyDescent="0.25">
      <c r="A18" s="63">
        <v>72222</v>
      </c>
      <c r="B18" s="45" t="s">
        <v>37</v>
      </c>
      <c r="C18" s="64"/>
      <c r="D18" s="207"/>
      <c r="E18" s="64"/>
    </row>
    <row r="19" spans="1:5" x14ac:dyDescent="0.25">
      <c r="A19" s="20">
        <v>533600</v>
      </c>
      <c r="B19" s="26" t="s">
        <v>295</v>
      </c>
      <c r="C19" s="64">
        <v>1000</v>
      </c>
      <c r="D19" s="207"/>
      <c r="E19" s="64">
        <f>SUM(C19:D19)</f>
        <v>1000</v>
      </c>
    </row>
    <row r="20" spans="1:5" x14ac:dyDescent="0.25">
      <c r="A20" s="20">
        <v>531000</v>
      </c>
      <c r="B20" s="26" t="s">
        <v>357</v>
      </c>
      <c r="C20" s="64">
        <v>50000</v>
      </c>
      <c r="D20" s="207"/>
      <c r="E20" s="64">
        <f>SUM(C20:D20)</f>
        <v>50000</v>
      </c>
    </row>
    <row r="21" spans="1:5" x14ac:dyDescent="0.25">
      <c r="A21" s="20">
        <v>534800</v>
      </c>
      <c r="B21" s="26" t="s">
        <v>335</v>
      </c>
      <c r="C21" s="64">
        <v>900</v>
      </c>
      <c r="D21" s="207"/>
      <c r="E21" s="64">
        <f>SUM(C21:D21)</f>
        <v>900</v>
      </c>
    </row>
    <row r="22" spans="1:5" x14ac:dyDescent="0.25">
      <c r="A22" s="20">
        <v>535100</v>
      </c>
      <c r="B22" s="26" t="s">
        <v>23</v>
      </c>
      <c r="C22" s="64">
        <v>24000</v>
      </c>
      <c r="D22" s="207"/>
      <c r="E22" s="64">
        <f>SUM(C22:D22)</f>
        <v>24000</v>
      </c>
    </row>
    <row r="23" spans="1:5" x14ac:dyDescent="0.25">
      <c r="A23" s="20">
        <v>532000</v>
      </c>
      <c r="B23" s="26" t="s">
        <v>94</v>
      </c>
      <c r="C23" s="64">
        <v>400</v>
      </c>
      <c r="D23" s="207"/>
      <c r="E23" s="64">
        <f>SUM(C23:D23)</f>
        <v>400</v>
      </c>
    </row>
    <row r="24" spans="1:5" x14ac:dyDescent="0.25">
      <c r="A24" s="6"/>
      <c r="B24" s="6" t="s">
        <v>4</v>
      </c>
      <c r="C24" s="65">
        <f>SUM(C19:C23)</f>
        <v>76300</v>
      </c>
      <c r="D24" s="208">
        <f>SUM(D19:D23)</f>
        <v>0</v>
      </c>
      <c r="E24" s="65">
        <f>SUM(E19:E23)</f>
        <v>76300</v>
      </c>
    </row>
    <row r="25" spans="1:5" x14ac:dyDescent="0.25">
      <c r="A25" s="20"/>
      <c r="B25" s="28"/>
      <c r="C25" s="64"/>
      <c r="D25" s="207"/>
      <c r="E25" s="64"/>
    </row>
    <row r="26" spans="1:5" x14ac:dyDescent="0.25">
      <c r="A26" s="20">
        <v>542200</v>
      </c>
      <c r="B26" s="26" t="s">
        <v>25</v>
      </c>
      <c r="C26" s="64">
        <v>100</v>
      </c>
      <c r="D26" s="207"/>
      <c r="E26" s="64">
        <f>SUM(C26:D26)</f>
        <v>100</v>
      </c>
    </row>
    <row r="27" spans="1:5" x14ac:dyDescent="0.25">
      <c r="A27" s="20">
        <v>543500</v>
      </c>
      <c r="B27" s="26" t="s">
        <v>6</v>
      </c>
      <c r="C27" s="64">
        <v>2470</v>
      </c>
      <c r="D27" s="207"/>
      <c r="E27" s="64">
        <f>SUM(C27:D27)</f>
        <v>2470</v>
      </c>
    </row>
    <row r="28" spans="1:5" x14ac:dyDescent="0.25">
      <c r="A28" s="20">
        <v>542900</v>
      </c>
      <c r="B28" s="9" t="s">
        <v>100</v>
      </c>
      <c r="C28" s="64">
        <v>300</v>
      </c>
      <c r="D28" s="207"/>
      <c r="E28" s="64">
        <f>SUM(C28:D28)</f>
        <v>300</v>
      </c>
    </row>
    <row r="29" spans="1:5" x14ac:dyDescent="0.25">
      <c r="A29" s="20">
        <v>542950</v>
      </c>
      <c r="B29" s="26" t="s">
        <v>29</v>
      </c>
      <c r="C29" s="64">
        <v>500</v>
      </c>
      <c r="D29" s="207"/>
      <c r="E29" s="64">
        <f>SUM(C29:D29)</f>
        <v>500</v>
      </c>
    </row>
    <row r="30" spans="1:5" x14ac:dyDescent="0.25">
      <c r="A30" s="20">
        <v>543200</v>
      </c>
      <c r="B30" s="26" t="s">
        <v>8</v>
      </c>
      <c r="C30" s="64">
        <v>300</v>
      </c>
      <c r="D30" s="207"/>
      <c r="E30" s="64">
        <f>SUM(C30:D30)</f>
        <v>300</v>
      </c>
    </row>
    <row r="31" spans="1:5" x14ac:dyDescent="0.25">
      <c r="A31" s="6"/>
      <c r="B31" s="6" t="s">
        <v>9</v>
      </c>
      <c r="C31" s="65">
        <f>SUM(C26:C30)</f>
        <v>3670</v>
      </c>
      <c r="D31" s="208">
        <f>SUM(D26:D30)</f>
        <v>0</v>
      </c>
      <c r="E31" s="65">
        <f>SUM(E26:E30)</f>
        <v>3670</v>
      </c>
    </row>
    <row r="32" spans="1:5" x14ac:dyDescent="0.25">
      <c r="A32" s="20"/>
      <c r="B32" s="28"/>
      <c r="C32" s="64"/>
      <c r="D32" s="207"/>
      <c r="E32" s="64"/>
    </row>
    <row r="33" spans="1:5" x14ac:dyDescent="0.25">
      <c r="A33" s="20">
        <v>552400</v>
      </c>
      <c r="B33" s="28" t="s">
        <v>11</v>
      </c>
      <c r="C33" s="64">
        <v>18000</v>
      </c>
      <c r="D33" s="207"/>
      <c r="E33" s="64">
        <f>SUM(C33:D33)</f>
        <v>18000</v>
      </c>
    </row>
    <row r="34" spans="1:5" x14ac:dyDescent="0.25">
      <c r="A34" s="16"/>
      <c r="B34" s="6" t="s">
        <v>12</v>
      </c>
      <c r="C34" s="65">
        <f>SUM(C33)</f>
        <v>18000</v>
      </c>
      <c r="D34" s="208">
        <f>SUM(D33)</f>
        <v>0</v>
      </c>
      <c r="E34" s="65">
        <f>SUM(E33)</f>
        <v>18000</v>
      </c>
    </row>
    <row r="35" spans="1:5" x14ac:dyDescent="0.25">
      <c r="A35" s="11"/>
      <c r="B35" s="9"/>
      <c r="C35" s="64"/>
      <c r="D35" s="207"/>
      <c r="E35" s="64"/>
    </row>
    <row r="36" spans="1:5" s="1" customFormat="1" ht="13.8" x14ac:dyDescent="0.25">
      <c r="A36" s="10"/>
      <c r="B36" s="24" t="s">
        <v>82</v>
      </c>
      <c r="C36" s="67">
        <f>SUM(C24+C31+C34)</f>
        <v>97970</v>
      </c>
      <c r="D36" s="219">
        <f>SUM(D24+D31+D34)</f>
        <v>0</v>
      </c>
      <c r="E36" s="67">
        <f>SUM(E24+E31+E34)</f>
        <v>97970</v>
      </c>
    </row>
    <row r="37" spans="1:5" x14ac:dyDescent="0.25">
      <c r="A37" s="9"/>
      <c r="B37" s="9"/>
      <c r="C37" s="64"/>
      <c r="D37" s="207"/>
      <c r="E37" s="64"/>
    </row>
    <row r="38" spans="1:5" x14ac:dyDescent="0.25">
      <c r="A38" s="9"/>
      <c r="B38" s="9"/>
      <c r="C38" s="64"/>
      <c r="D38" s="207"/>
      <c r="E38" s="64"/>
    </row>
    <row r="39" spans="1:5" s="23" customFormat="1" ht="15.6" x14ac:dyDescent="0.3">
      <c r="A39" s="12" t="s">
        <v>137</v>
      </c>
      <c r="B39" s="12"/>
      <c r="C39" s="70">
        <f>SUM(C16+C36)</f>
        <v>1059220</v>
      </c>
      <c r="D39" s="209">
        <f>SUM(D16+D36)</f>
        <v>-60338</v>
      </c>
      <c r="E39" s="70">
        <f>SUM(E16+E36)</f>
        <v>998882</v>
      </c>
    </row>
  </sheetData>
  <mergeCells count="1">
    <mergeCell ref="A4:B4"/>
  </mergeCells>
  <phoneticPr fontId="0" type="noConversion"/>
  <printOptions horizontalCentered="1"/>
  <pageMargins left="0.75" right="0.75" top="1" bottom="1" header="0.5" footer="0.5"/>
  <pageSetup scale="77" firstPageNumber="10" orientation="portrait" useFirstPageNumber="1" r:id="rId1"/>
  <headerFooter alignWithMargins="0">
    <oddFooter>&amp;C&amp;"Arial,Bold"&amp;P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E16"/>
  <sheetViews>
    <sheetView workbookViewId="0">
      <selection activeCell="D9" sqref="D9"/>
    </sheetView>
  </sheetViews>
  <sheetFormatPr defaultRowHeight="13.2" x14ac:dyDescent="0.25"/>
  <cols>
    <col min="1" max="1" width="11.6640625" customWidth="1"/>
    <col min="2" max="2" width="52.6640625" customWidth="1"/>
    <col min="3" max="3" width="17.6640625" customWidth="1"/>
    <col min="4" max="4" width="17.6640625" style="215" customWidth="1"/>
    <col min="5" max="6" width="17.6640625" customWidth="1"/>
  </cols>
  <sheetData>
    <row r="1" spans="1:5" ht="15.6" x14ac:dyDescent="0.3">
      <c r="A1" s="5" t="s">
        <v>261</v>
      </c>
    </row>
    <row r="2" spans="1:5" ht="15.6" x14ac:dyDescent="0.3">
      <c r="A2" s="5" t="s">
        <v>510</v>
      </c>
    </row>
    <row r="3" spans="1:5" ht="13.8" thickBot="1" x14ac:dyDescent="0.3"/>
    <row r="4" spans="1:5" ht="15.6" x14ac:dyDescent="0.3">
      <c r="A4" s="413" t="s">
        <v>118</v>
      </c>
      <c r="B4" s="414"/>
      <c r="C4" s="94" t="s">
        <v>483</v>
      </c>
      <c r="D4" s="356"/>
      <c r="E4" s="362" t="s">
        <v>511</v>
      </c>
    </row>
    <row r="5" spans="1:5" ht="15.6" x14ac:dyDescent="0.3">
      <c r="A5" s="60"/>
      <c r="B5" s="61"/>
      <c r="C5" s="93" t="s">
        <v>345</v>
      </c>
      <c r="D5" s="358"/>
      <c r="E5" s="363" t="s">
        <v>342</v>
      </c>
    </row>
    <row r="6" spans="1:5" ht="16.2" thickBot="1" x14ac:dyDescent="0.35">
      <c r="A6" s="13"/>
      <c r="B6" s="14"/>
      <c r="C6" s="14" t="s">
        <v>290</v>
      </c>
      <c r="D6" s="360" t="s">
        <v>493</v>
      </c>
      <c r="E6" s="364" t="s">
        <v>290</v>
      </c>
    </row>
    <row r="7" spans="1:5" s="3" customFormat="1" ht="13.8" x14ac:dyDescent="0.25">
      <c r="A7" s="62">
        <v>71105</v>
      </c>
      <c r="B7" s="78" t="s">
        <v>32</v>
      </c>
      <c r="C7" s="25"/>
      <c r="D7" s="218"/>
      <c r="E7" s="22"/>
    </row>
    <row r="8" spans="1:5" x14ac:dyDescent="0.25">
      <c r="A8" s="20">
        <v>543500</v>
      </c>
      <c r="B8" s="26" t="s">
        <v>6</v>
      </c>
      <c r="C8" s="64">
        <v>56174</v>
      </c>
      <c r="D8" s="207">
        <v>-10665</v>
      </c>
      <c r="E8" s="64">
        <f>SUM(C8:D8)</f>
        <v>45509</v>
      </c>
    </row>
    <row r="9" spans="1:5" x14ac:dyDescent="0.25">
      <c r="A9" s="20">
        <v>542900</v>
      </c>
      <c r="B9" s="26" t="s">
        <v>28</v>
      </c>
      <c r="C9" s="64">
        <v>5500</v>
      </c>
      <c r="D9" s="207"/>
      <c r="E9" s="64">
        <f>SUM(C9:D9)</f>
        <v>5500</v>
      </c>
    </row>
    <row r="10" spans="1:5" x14ac:dyDescent="0.25">
      <c r="A10" s="6"/>
      <c r="B10" s="6" t="s">
        <v>9</v>
      </c>
      <c r="C10" s="65">
        <f>SUM(C8:C9)</f>
        <v>61674</v>
      </c>
      <c r="D10" s="208">
        <f>SUM(D8:D9)</f>
        <v>-10665</v>
      </c>
      <c r="E10" s="65">
        <f>SUM(E8:E9)</f>
        <v>51009</v>
      </c>
    </row>
    <row r="11" spans="1:5" x14ac:dyDescent="0.25">
      <c r="A11" s="20"/>
      <c r="B11" s="28"/>
      <c r="C11" s="64"/>
      <c r="D11" s="207"/>
      <c r="E11" s="64"/>
    </row>
    <row r="12" spans="1:5" x14ac:dyDescent="0.25">
      <c r="A12" s="20">
        <v>552400</v>
      </c>
      <c r="B12" s="26" t="s">
        <v>119</v>
      </c>
      <c r="C12" s="64">
        <v>2244</v>
      </c>
      <c r="D12" s="207"/>
      <c r="E12" s="64">
        <f>SUM(C12:D12)</f>
        <v>2244</v>
      </c>
    </row>
    <row r="13" spans="1:5" x14ac:dyDescent="0.25">
      <c r="A13" s="11"/>
      <c r="B13" s="6" t="s">
        <v>12</v>
      </c>
      <c r="C13" s="65">
        <f>SUM(C12)</f>
        <v>2244</v>
      </c>
      <c r="D13" s="208">
        <f>SUM(D12)</f>
        <v>0</v>
      </c>
      <c r="E13" s="65">
        <f>SUM(E12)</f>
        <v>2244</v>
      </c>
    </row>
    <row r="14" spans="1:5" x14ac:dyDescent="0.25">
      <c r="A14" s="9"/>
      <c r="B14" s="9"/>
      <c r="C14" s="64"/>
      <c r="D14" s="207"/>
      <c r="E14" s="64"/>
    </row>
    <row r="15" spans="1:5" x14ac:dyDescent="0.25">
      <c r="A15" s="9"/>
      <c r="B15" s="9"/>
      <c r="C15" s="64"/>
      <c r="D15" s="207"/>
      <c r="E15" s="64"/>
    </row>
    <row r="16" spans="1:5" s="23" customFormat="1" ht="15.6" x14ac:dyDescent="0.3">
      <c r="A16" s="12" t="s">
        <v>120</v>
      </c>
      <c r="B16" s="12"/>
      <c r="C16" s="70">
        <f>+C13+C10</f>
        <v>63918</v>
      </c>
      <c r="D16" s="209">
        <f>+D13+D10</f>
        <v>-10665</v>
      </c>
      <c r="E16" s="70">
        <f>+E13+E10</f>
        <v>53253</v>
      </c>
    </row>
  </sheetData>
  <mergeCells count="1">
    <mergeCell ref="A4:B4"/>
  </mergeCells>
  <phoneticPr fontId="0" type="noConversion"/>
  <printOptions horizontalCentered="1"/>
  <pageMargins left="0.75" right="0.75" top="1" bottom="1" header="0.5" footer="0.5"/>
  <pageSetup scale="77" firstPageNumber="11" orientation="portrait" useFirstPageNumber="1" r:id="rId1"/>
  <headerFooter alignWithMargins="0">
    <oddFooter>&amp;C&amp;"Arial,Bold"&amp;P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E23"/>
  <sheetViews>
    <sheetView workbookViewId="0">
      <selection activeCell="A3" sqref="A3"/>
    </sheetView>
  </sheetViews>
  <sheetFormatPr defaultRowHeight="13.2" x14ac:dyDescent="0.25"/>
  <cols>
    <col min="1" max="1" width="11.6640625" customWidth="1"/>
    <col min="2" max="2" width="52.6640625" customWidth="1"/>
    <col min="3" max="3" width="17.6640625" customWidth="1"/>
    <col min="4" max="4" width="17.6640625" style="215" customWidth="1"/>
    <col min="5" max="6" width="17.6640625" customWidth="1"/>
  </cols>
  <sheetData>
    <row r="1" spans="1:5" ht="15.6" x14ac:dyDescent="0.3">
      <c r="A1" s="5" t="s">
        <v>261</v>
      </c>
    </row>
    <row r="2" spans="1:5" ht="15.6" x14ac:dyDescent="0.3">
      <c r="A2" s="5" t="s">
        <v>510</v>
      </c>
    </row>
    <row r="3" spans="1:5" ht="13.8" thickBot="1" x14ac:dyDescent="0.3"/>
    <row r="4" spans="1:5" ht="15.6" x14ac:dyDescent="0.3">
      <c r="A4" s="413" t="s">
        <v>253</v>
      </c>
      <c r="B4" s="414"/>
      <c r="C4" s="94" t="s">
        <v>483</v>
      </c>
      <c r="D4" s="356"/>
      <c r="E4" s="362" t="s">
        <v>511</v>
      </c>
    </row>
    <row r="5" spans="1:5" ht="15.6" x14ac:dyDescent="0.3">
      <c r="A5" s="60"/>
      <c r="B5" s="61"/>
      <c r="C5" s="93" t="s">
        <v>345</v>
      </c>
      <c r="D5" s="358"/>
      <c r="E5" s="363" t="s">
        <v>342</v>
      </c>
    </row>
    <row r="6" spans="1:5" ht="16.2" thickBot="1" x14ac:dyDescent="0.35">
      <c r="A6" s="13"/>
      <c r="B6" s="14"/>
      <c r="C6" s="14" t="s">
        <v>290</v>
      </c>
      <c r="D6" s="360" t="s">
        <v>493</v>
      </c>
      <c r="E6" s="364" t="s">
        <v>290</v>
      </c>
    </row>
    <row r="7" spans="1:5" ht="13.8" x14ac:dyDescent="0.25">
      <c r="A7" s="62">
        <v>71108</v>
      </c>
      <c r="B7" s="78" t="s">
        <v>32</v>
      </c>
      <c r="C7" s="25"/>
      <c r="D7" s="216"/>
      <c r="E7" s="25"/>
    </row>
    <row r="8" spans="1:5" x14ac:dyDescent="0.25">
      <c r="A8" s="20">
        <v>542900</v>
      </c>
      <c r="B8" s="26" t="s">
        <v>28</v>
      </c>
      <c r="C8" s="66">
        <v>6000</v>
      </c>
      <c r="D8" s="207"/>
      <c r="E8" s="66">
        <f>SUM(C8:D8)</f>
        <v>6000</v>
      </c>
    </row>
    <row r="9" spans="1:5" x14ac:dyDescent="0.25">
      <c r="A9" s="17"/>
      <c r="B9" s="6" t="s">
        <v>9</v>
      </c>
      <c r="C9" s="65">
        <f>SUM(C8:C8)</f>
        <v>6000</v>
      </c>
      <c r="D9" s="208">
        <f>SUM(D8:D8)</f>
        <v>0</v>
      </c>
      <c r="E9" s="65">
        <f>SUM(E8:E8)</f>
        <v>6000</v>
      </c>
    </row>
    <row r="10" spans="1:5" x14ac:dyDescent="0.25">
      <c r="A10" s="32"/>
      <c r="B10" s="28"/>
      <c r="C10" s="64"/>
      <c r="D10" s="207"/>
      <c r="E10" s="64"/>
    </row>
    <row r="11" spans="1:5" ht="13.8" x14ac:dyDescent="0.25">
      <c r="A11" s="17"/>
      <c r="B11" s="24" t="s">
        <v>81</v>
      </c>
      <c r="C11" s="67">
        <f>SUM(C9)</f>
        <v>6000</v>
      </c>
      <c r="D11" s="214">
        <f>SUM(D9)</f>
        <v>0</v>
      </c>
      <c r="E11" s="67">
        <f>SUM(E9)</f>
        <v>6000</v>
      </c>
    </row>
    <row r="12" spans="1:5" x14ac:dyDescent="0.25">
      <c r="A12" s="33"/>
      <c r="B12" s="9"/>
      <c r="C12" s="64"/>
      <c r="D12" s="207"/>
      <c r="E12" s="64"/>
    </row>
    <row r="13" spans="1:5" ht="13.8" x14ac:dyDescent="0.25">
      <c r="A13" s="63">
        <v>72223</v>
      </c>
      <c r="B13" s="45" t="s">
        <v>37</v>
      </c>
      <c r="C13" s="64"/>
      <c r="D13" s="207"/>
      <c r="E13" s="64"/>
    </row>
    <row r="14" spans="1:5" x14ac:dyDescent="0.25">
      <c r="A14" s="20">
        <v>532000</v>
      </c>
      <c r="B14" s="26" t="s">
        <v>94</v>
      </c>
      <c r="C14" s="66">
        <v>175</v>
      </c>
      <c r="D14" s="207"/>
      <c r="E14" s="66">
        <f>SUM(C14:D14)</f>
        <v>175</v>
      </c>
    </row>
    <row r="15" spans="1:5" x14ac:dyDescent="0.25">
      <c r="A15" s="6"/>
      <c r="B15" s="6" t="s">
        <v>4</v>
      </c>
      <c r="C15" s="65">
        <f>SUM(C14:C14)</f>
        <v>175</v>
      </c>
      <c r="D15" s="208">
        <f>SUM(D14:D14)</f>
        <v>0</v>
      </c>
      <c r="E15" s="65">
        <f>SUM(E14:E14)</f>
        <v>175</v>
      </c>
    </row>
    <row r="16" spans="1:5" x14ac:dyDescent="0.25">
      <c r="A16" s="20"/>
      <c r="B16" s="26"/>
      <c r="C16" s="66"/>
      <c r="D16" s="207"/>
      <c r="E16" s="66"/>
    </row>
    <row r="17" spans="1:5" x14ac:dyDescent="0.25">
      <c r="A17" s="20">
        <v>552400</v>
      </c>
      <c r="B17" s="26" t="s">
        <v>11</v>
      </c>
      <c r="C17" s="66">
        <v>10825</v>
      </c>
      <c r="D17" s="207"/>
      <c r="E17" s="66">
        <f>SUM(C17:D17)</f>
        <v>10825</v>
      </c>
    </row>
    <row r="18" spans="1:5" x14ac:dyDescent="0.25">
      <c r="A18" s="20"/>
      <c r="B18" s="6" t="s">
        <v>12</v>
      </c>
      <c r="C18" s="65">
        <f>SUM(C17)</f>
        <v>10825</v>
      </c>
      <c r="D18" s="208">
        <f>SUM(D17)</f>
        <v>0</v>
      </c>
      <c r="E18" s="65">
        <f>SUM(E17)</f>
        <v>10825</v>
      </c>
    </row>
    <row r="19" spans="1:5" x14ac:dyDescent="0.25">
      <c r="A19" s="9"/>
      <c r="B19" s="26"/>
      <c r="C19" s="66"/>
      <c r="D19" s="207"/>
      <c r="E19" s="66"/>
    </row>
    <row r="20" spans="1:5" s="1" customFormat="1" ht="13.8" x14ac:dyDescent="0.25">
      <c r="A20" s="10"/>
      <c r="B20" s="24" t="s">
        <v>82</v>
      </c>
      <c r="C20" s="67">
        <f>SUM(C15+C18)</f>
        <v>11000</v>
      </c>
      <c r="D20" s="214">
        <f>SUM(D15+D18)</f>
        <v>0</v>
      </c>
      <c r="E20" s="67">
        <f>SUM(E15+E18)</f>
        <v>11000</v>
      </c>
    </row>
    <row r="21" spans="1:5" x14ac:dyDescent="0.25">
      <c r="A21" s="9"/>
      <c r="B21" s="9"/>
      <c r="C21" s="64"/>
      <c r="D21" s="207"/>
      <c r="E21" s="64"/>
    </row>
    <row r="22" spans="1:5" x14ac:dyDescent="0.25">
      <c r="A22" s="9"/>
      <c r="B22" s="9"/>
      <c r="C22" s="64"/>
      <c r="D22" s="207"/>
      <c r="E22" s="64"/>
    </row>
    <row r="23" spans="1:5" s="23" customFormat="1" ht="15.6" x14ac:dyDescent="0.3">
      <c r="A23" s="12" t="s">
        <v>259</v>
      </c>
      <c r="B23" s="12"/>
      <c r="C23" s="70">
        <f>SUM(C11+C20)</f>
        <v>17000</v>
      </c>
      <c r="D23" s="209">
        <f>SUM(D11+D20)</f>
        <v>0</v>
      </c>
      <c r="E23" s="70">
        <f>SUM(E11+E20)</f>
        <v>17000</v>
      </c>
    </row>
  </sheetData>
  <mergeCells count="1">
    <mergeCell ref="A4:B4"/>
  </mergeCells>
  <phoneticPr fontId="0" type="noConversion"/>
  <printOptions horizontalCentered="1"/>
  <pageMargins left="0.75" right="0.75" top="1" bottom="1" header="0.5" footer="0.5"/>
  <pageSetup scale="77" firstPageNumber="12" orientation="portrait" useFirstPageNumber="1" r:id="rId1"/>
  <headerFooter alignWithMargins="0">
    <oddFooter>&amp;C&amp;"Arial,Bold"&amp;P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E13"/>
  <sheetViews>
    <sheetView workbookViewId="0">
      <selection activeCell="A3" sqref="A3"/>
    </sheetView>
  </sheetViews>
  <sheetFormatPr defaultRowHeight="13.2" x14ac:dyDescent="0.25"/>
  <cols>
    <col min="1" max="1" width="11.6640625" customWidth="1"/>
    <col min="2" max="2" width="52.6640625" customWidth="1"/>
    <col min="3" max="3" width="17.6640625" customWidth="1"/>
    <col min="4" max="4" width="17.6640625" style="210" customWidth="1"/>
    <col min="5" max="6" width="17.6640625" customWidth="1"/>
  </cols>
  <sheetData>
    <row r="1" spans="1:5" ht="15.6" x14ac:dyDescent="0.3">
      <c r="A1" s="5" t="s">
        <v>261</v>
      </c>
    </row>
    <row r="2" spans="1:5" ht="15.6" x14ac:dyDescent="0.3">
      <c r="A2" s="5" t="s">
        <v>510</v>
      </c>
    </row>
    <row r="3" spans="1:5" ht="13.8" thickBot="1" x14ac:dyDescent="0.3"/>
    <row r="4" spans="1:5" ht="15.6" x14ac:dyDescent="0.3">
      <c r="A4" s="413" t="s">
        <v>98</v>
      </c>
      <c r="B4" s="414"/>
      <c r="C4" s="94" t="s">
        <v>483</v>
      </c>
      <c r="D4" s="356"/>
      <c r="E4" s="362" t="s">
        <v>511</v>
      </c>
    </row>
    <row r="5" spans="1:5" ht="15.6" x14ac:dyDescent="0.3">
      <c r="A5" s="60"/>
      <c r="B5" s="61"/>
      <c r="C5" s="93" t="s">
        <v>345</v>
      </c>
      <c r="D5" s="358"/>
      <c r="E5" s="363" t="s">
        <v>342</v>
      </c>
    </row>
    <row r="6" spans="1:5" ht="16.2" thickBot="1" x14ac:dyDescent="0.35">
      <c r="A6" s="13"/>
      <c r="B6" s="14"/>
      <c r="C6" s="14" t="s">
        <v>290</v>
      </c>
      <c r="D6" s="360" t="s">
        <v>493</v>
      </c>
      <c r="E6" s="364" t="s">
        <v>290</v>
      </c>
    </row>
    <row r="7" spans="1:5" ht="13.8" x14ac:dyDescent="0.25">
      <c r="A7" s="62">
        <v>71109</v>
      </c>
      <c r="B7" s="78" t="s">
        <v>32</v>
      </c>
      <c r="C7" s="25"/>
      <c r="D7" s="213"/>
      <c r="E7" s="25"/>
    </row>
    <row r="8" spans="1:5" x14ac:dyDescent="0.25">
      <c r="A8" s="57">
        <v>542950</v>
      </c>
      <c r="B8" s="26" t="s">
        <v>29</v>
      </c>
      <c r="C8" s="64">
        <v>400</v>
      </c>
      <c r="D8" s="64"/>
      <c r="E8" s="64">
        <f>SUM(C8:D8)</f>
        <v>400</v>
      </c>
    </row>
    <row r="9" spans="1:5" x14ac:dyDescent="0.25">
      <c r="A9" s="57">
        <v>542960</v>
      </c>
      <c r="B9" s="9" t="s">
        <v>31</v>
      </c>
      <c r="C9" s="64">
        <v>3924</v>
      </c>
      <c r="D9" s="64"/>
      <c r="E9" s="64">
        <f>SUM(C9:D9)</f>
        <v>3924</v>
      </c>
    </row>
    <row r="10" spans="1:5" s="1" customFormat="1" x14ac:dyDescent="0.25">
      <c r="A10" s="10"/>
      <c r="B10" s="6" t="s">
        <v>9</v>
      </c>
      <c r="C10" s="65">
        <f>SUM(C8:C9)</f>
        <v>4324</v>
      </c>
      <c r="D10" s="65">
        <f>SUM(D8:D9)</f>
        <v>0</v>
      </c>
      <c r="E10" s="65">
        <f>SUM(E8:E9)</f>
        <v>4324</v>
      </c>
    </row>
    <row r="11" spans="1:5" x14ac:dyDescent="0.25">
      <c r="A11" s="9"/>
      <c r="B11" s="9"/>
      <c r="C11" s="64"/>
      <c r="D11" s="64"/>
      <c r="E11" s="64"/>
    </row>
    <row r="12" spans="1:5" x14ac:dyDescent="0.25">
      <c r="A12" s="9"/>
      <c r="B12" s="9"/>
      <c r="C12" s="64"/>
      <c r="D12" s="64"/>
      <c r="E12" s="64"/>
    </row>
    <row r="13" spans="1:5" s="23" customFormat="1" ht="15.6" x14ac:dyDescent="0.3">
      <c r="A13" s="12" t="s">
        <v>99</v>
      </c>
      <c r="B13" s="12"/>
      <c r="C13" s="70">
        <f>SUM(C10)</f>
        <v>4324</v>
      </c>
      <c r="D13" s="70">
        <f>SUM(D10)</f>
        <v>0</v>
      </c>
      <c r="E13" s="70">
        <f>SUM(E10)</f>
        <v>4324</v>
      </c>
    </row>
  </sheetData>
  <mergeCells count="1">
    <mergeCell ref="A4:B4"/>
  </mergeCells>
  <phoneticPr fontId="0" type="noConversion"/>
  <printOptions horizontalCentered="1"/>
  <pageMargins left="0.75" right="0.75" top="1" bottom="1" header="0.5" footer="0.5"/>
  <pageSetup scale="77" firstPageNumber="13" orientation="portrait" useFirstPageNumber="1" r:id="rId1"/>
  <headerFooter alignWithMargins="0">
    <oddFooter>&amp;C&amp;"Arial,Bold"&amp;P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E13"/>
  <sheetViews>
    <sheetView workbookViewId="0">
      <selection activeCell="D9" sqref="D9"/>
    </sheetView>
  </sheetViews>
  <sheetFormatPr defaultRowHeight="13.2" x14ac:dyDescent="0.25"/>
  <cols>
    <col min="1" max="1" width="11.6640625" customWidth="1"/>
    <col min="2" max="2" width="52.6640625" customWidth="1"/>
    <col min="3" max="3" width="17.6640625" customWidth="1"/>
    <col min="4" max="4" width="17.6640625" style="210" customWidth="1"/>
    <col min="5" max="5" width="17.6640625" customWidth="1"/>
  </cols>
  <sheetData>
    <row r="1" spans="1:5" ht="15.6" x14ac:dyDescent="0.3">
      <c r="A1" s="5" t="s">
        <v>261</v>
      </c>
    </row>
    <row r="2" spans="1:5" ht="15.6" x14ac:dyDescent="0.3">
      <c r="A2" s="5" t="s">
        <v>510</v>
      </c>
    </row>
    <row r="3" spans="1:5" ht="13.8" thickBot="1" x14ac:dyDescent="0.3"/>
    <row r="4" spans="1:5" ht="15.6" x14ac:dyDescent="0.3">
      <c r="A4" s="413" t="s">
        <v>164</v>
      </c>
      <c r="B4" s="414"/>
      <c r="C4" s="94" t="s">
        <v>483</v>
      </c>
      <c r="D4" s="356"/>
      <c r="E4" s="362" t="s">
        <v>511</v>
      </c>
    </row>
    <row r="5" spans="1:5" ht="15.6" x14ac:dyDescent="0.3">
      <c r="A5" s="60"/>
      <c r="B5" s="61"/>
      <c r="C5" s="93" t="s">
        <v>345</v>
      </c>
      <c r="D5" s="358"/>
      <c r="E5" s="363" t="s">
        <v>342</v>
      </c>
    </row>
    <row r="6" spans="1:5" ht="16.2" thickBot="1" x14ac:dyDescent="0.35">
      <c r="A6" s="13"/>
      <c r="B6" s="14"/>
      <c r="C6" s="14" t="s">
        <v>290</v>
      </c>
      <c r="D6" s="360" t="s">
        <v>493</v>
      </c>
      <c r="E6" s="364" t="s">
        <v>290</v>
      </c>
    </row>
    <row r="7" spans="1:5" ht="13.8" x14ac:dyDescent="0.25">
      <c r="A7" s="62">
        <v>71110</v>
      </c>
      <c r="B7" s="78" t="s">
        <v>32</v>
      </c>
      <c r="C7" s="101"/>
      <c r="D7" s="213"/>
      <c r="E7" s="25"/>
    </row>
    <row r="8" spans="1:5" x14ac:dyDescent="0.25">
      <c r="A8" s="20">
        <v>543500</v>
      </c>
      <c r="B8" s="26" t="s">
        <v>6</v>
      </c>
      <c r="C8" s="66">
        <v>32066</v>
      </c>
      <c r="D8" s="66">
        <v>3500</v>
      </c>
      <c r="E8" s="66">
        <f>SUM(C8:D8)</f>
        <v>35566</v>
      </c>
    </row>
    <row r="9" spans="1:5" x14ac:dyDescent="0.25">
      <c r="A9" s="20">
        <v>542900</v>
      </c>
      <c r="B9" s="26" t="s">
        <v>28</v>
      </c>
      <c r="C9" s="66">
        <v>30200</v>
      </c>
      <c r="D9" s="66"/>
      <c r="E9" s="66">
        <f>SUM(C9:D9)</f>
        <v>30200</v>
      </c>
    </row>
    <row r="10" spans="1:5" x14ac:dyDescent="0.25">
      <c r="A10" s="26"/>
      <c r="B10" s="6" t="s">
        <v>9</v>
      </c>
      <c r="C10" s="65">
        <f>SUM(C8:C9)</f>
        <v>62266</v>
      </c>
      <c r="D10" s="65">
        <f>SUM(D8:D9)</f>
        <v>3500</v>
      </c>
      <c r="E10" s="65">
        <f>SUM(E8:E9)</f>
        <v>65766</v>
      </c>
    </row>
    <row r="11" spans="1:5" x14ac:dyDescent="0.25">
      <c r="A11" s="9"/>
      <c r="B11" s="9"/>
      <c r="C11" s="64"/>
      <c r="D11" s="64"/>
      <c r="E11" s="64"/>
    </row>
    <row r="12" spans="1:5" x14ac:dyDescent="0.25">
      <c r="A12" s="9"/>
      <c r="B12" s="9"/>
      <c r="C12" s="64"/>
      <c r="D12" s="64"/>
      <c r="E12" s="64"/>
    </row>
    <row r="13" spans="1:5" s="23" customFormat="1" ht="15.6" x14ac:dyDescent="0.3">
      <c r="A13" s="12" t="s">
        <v>165</v>
      </c>
      <c r="B13" s="12"/>
      <c r="C13" s="70">
        <f>SUM(C10)</f>
        <v>62266</v>
      </c>
      <c r="D13" s="70">
        <f>SUM(D10)</f>
        <v>3500</v>
      </c>
      <c r="E13" s="70">
        <f>SUM(E10)</f>
        <v>65766</v>
      </c>
    </row>
  </sheetData>
  <mergeCells count="1">
    <mergeCell ref="A4:B4"/>
  </mergeCells>
  <phoneticPr fontId="0" type="noConversion"/>
  <printOptions horizontalCentered="1"/>
  <pageMargins left="0.75" right="0.75" top="1" bottom="1" header="0.5" footer="0.5"/>
  <pageSetup scale="77" firstPageNumber="14" orientation="portrait" useFirstPageNumber="1" r:id="rId1"/>
  <headerFooter alignWithMargins="0">
    <oddFooter>&amp;C&amp;"Arial,Bold"&amp;P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E32"/>
  <sheetViews>
    <sheetView workbookViewId="0">
      <selection activeCell="A3" sqref="A3"/>
    </sheetView>
  </sheetViews>
  <sheetFormatPr defaultRowHeight="13.2" x14ac:dyDescent="0.25"/>
  <cols>
    <col min="1" max="1" width="11.6640625" customWidth="1"/>
    <col min="2" max="2" width="52.6640625" customWidth="1"/>
    <col min="3" max="3" width="17.6640625" customWidth="1"/>
    <col min="4" max="4" width="17.6640625" style="215" customWidth="1"/>
    <col min="5" max="6" width="17.6640625" customWidth="1"/>
  </cols>
  <sheetData>
    <row r="1" spans="1:5" ht="15.6" x14ac:dyDescent="0.3">
      <c r="A1" s="5" t="s">
        <v>261</v>
      </c>
    </row>
    <row r="2" spans="1:5" ht="15.6" x14ac:dyDescent="0.3">
      <c r="A2" s="5" t="s">
        <v>510</v>
      </c>
    </row>
    <row r="3" spans="1:5" ht="13.8" thickBot="1" x14ac:dyDescent="0.3"/>
    <row r="4" spans="1:5" ht="15.6" x14ac:dyDescent="0.3">
      <c r="A4" s="413" t="s">
        <v>166</v>
      </c>
      <c r="B4" s="414"/>
      <c r="C4" s="94" t="s">
        <v>483</v>
      </c>
      <c r="D4" s="356"/>
      <c r="E4" s="362" t="s">
        <v>511</v>
      </c>
    </row>
    <row r="5" spans="1:5" ht="15.6" x14ac:dyDescent="0.3">
      <c r="A5" s="60"/>
      <c r="B5" s="61"/>
      <c r="C5" s="93" t="s">
        <v>345</v>
      </c>
      <c r="D5" s="358"/>
      <c r="E5" s="363" t="s">
        <v>342</v>
      </c>
    </row>
    <row r="6" spans="1:5" ht="16.2" thickBot="1" x14ac:dyDescent="0.35">
      <c r="A6" s="13"/>
      <c r="B6" s="14"/>
      <c r="C6" s="14" t="s">
        <v>290</v>
      </c>
      <c r="D6" s="360" t="s">
        <v>493</v>
      </c>
      <c r="E6" s="364" t="s">
        <v>290</v>
      </c>
    </row>
    <row r="7" spans="1:5" ht="13.8" x14ac:dyDescent="0.25">
      <c r="A7" s="62">
        <v>71111</v>
      </c>
      <c r="B7" s="78" t="s">
        <v>32</v>
      </c>
      <c r="C7" s="25"/>
      <c r="D7" s="216"/>
      <c r="E7" s="25"/>
    </row>
    <row r="8" spans="1:5" x14ac:dyDescent="0.25">
      <c r="A8" s="20">
        <v>542900</v>
      </c>
      <c r="B8" s="26" t="s">
        <v>28</v>
      </c>
      <c r="C8" s="66">
        <v>12030</v>
      </c>
      <c r="D8" s="207"/>
      <c r="E8" s="66">
        <f>SUM(C8:D8)</f>
        <v>12030</v>
      </c>
    </row>
    <row r="9" spans="1:5" x14ac:dyDescent="0.25">
      <c r="A9" s="20">
        <v>544900</v>
      </c>
      <c r="B9" s="26" t="s">
        <v>30</v>
      </c>
      <c r="C9" s="66">
        <v>2244</v>
      </c>
      <c r="D9" s="207"/>
      <c r="E9" s="66">
        <f>SUM(C9:D9)</f>
        <v>2244</v>
      </c>
    </row>
    <row r="10" spans="1:5" x14ac:dyDescent="0.25">
      <c r="A10" s="20">
        <v>543200</v>
      </c>
      <c r="B10" s="26" t="s">
        <v>8</v>
      </c>
      <c r="C10" s="66">
        <v>8774</v>
      </c>
      <c r="D10" s="207"/>
      <c r="E10" s="66">
        <f>SUM(C10:D10)</f>
        <v>8774</v>
      </c>
    </row>
    <row r="11" spans="1:5" x14ac:dyDescent="0.25">
      <c r="A11" s="20">
        <v>543700</v>
      </c>
      <c r="B11" s="26" t="s">
        <v>43</v>
      </c>
      <c r="C11" s="66">
        <v>1000</v>
      </c>
      <c r="D11" s="207"/>
      <c r="E11" s="66">
        <f>SUM(C11:D11)</f>
        <v>1000</v>
      </c>
    </row>
    <row r="12" spans="1:5" x14ac:dyDescent="0.25">
      <c r="A12" s="20">
        <v>542960</v>
      </c>
      <c r="B12" s="26" t="s">
        <v>31</v>
      </c>
      <c r="C12" s="66">
        <v>12100</v>
      </c>
      <c r="D12" s="207"/>
      <c r="E12" s="66">
        <f>SUM(C12:D12)</f>
        <v>12100</v>
      </c>
    </row>
    <row r="13" spans="1:5" x14ac:dyDescent="0.25">
      <c r="A13" s="17"/>
      <c r="B13" s="6" t="s">
        <v>9</v>
      </c>
      <c r="C13" s="65">
        <f>SUM(C8:C12)</f>
        <v>36148</v>
      </c>
      <c r="D13" s="208">
        <f>SUM(D8:D12)</f>
        <v>0</v>
      </c>
      <c r="E13" s="65">
        <f>SUM(E8:E12)</f>
        <v>36148</v>
      </c>
    </row>
    <row r="14" spans="1:5" x14ac:dyDescent="0.25">
      <c r="A14" s="32"/>
      <c r="B14" s="28"/>
      <c r="C14" s="64"/>
      <c r="D14" s="207"/>
      <c r="E14" s="64"/>
    </row>
    <row r="15" spans="1:5" ht="13.8" x14ac:dyDescent="0.25">
      <c r="A15" s="17"/>
      <c r="B15" s="24" t="s">
        <v>81</v>
      </c>
      <c r="C15" s="67">
        <f>SUM(C13)</f>
        <v>36148</v>
      </c>
      <c r="D15" s="214">
        <f>SUM(D13)</f>
        <v>0</v>
      </c>
      <c r="E15" s="67">
        <f>SUM(E13)</f>
        <v>36148</v>
      </c>
    </row>
    <row r="16" spans="1:5" x14ac:dyDescent="0.25">
      <c r="A16" s="33"/>
      <c r="B16" s="9"/>
      <c r="C16" s="64"/>
      <c r="D16" s="207"/>
      <c r="E16" s="64"/>
    </row>
    <row r="17" spans="1:5" s="35" customFormat="1" ht="13.8" x14ac:dyDescent="0.25">
      <c r="A17" s="63">
        <v>72224</v>
      </c>
      <c r="B17" s="45" t="s">
        <v>37</v>
      </c>
      <c r="C17" s="75"/>
      <c r="D17" s="217"/>
      <c r="E17" s="75"/>
    </row>
    <row r="18" spans="1:5" x14ac:dyDescent="0.25">
      <c r="A18" s="20">
        <v>534800</v>
      </c>
      <c r="B18" s="26" t="s">
        <v>335</v>
      </c>
      <c r="C18" s="66">
        <v>3200</v>
      </c>
      <c r="D18" s="207"/>
      <c r="E18" s="66">
        <f>SUM(C18:D18)</f>
        <v>3200</v>
      </c>
    </row>
    <row r="19" spans="1:5" x14ac:dyDescent="0.25">
      <c r="A19" s="20">
        <v>532000</v>
      </c>
      <c r="B19" s="26" t="s">
        <v>94</v>
      </c>
      <c r="C19" s="66">
        <v>320</v>
      </c>
      <c r="D19" s="207"/>
      <c r="E19" s="66">
        <f>SUM(C19:D19)</f>
        <v>320</v>
      </c>
    </row>
    <row r="20" spans="1:5" x14ac:dyDescent="0.25">
      <c r="A20" s="6"/>
      <c r="B20" s="6" t="s">
        <v>4</v>
      </c>
      <c r="C20" s="65">
        <f>SUM(C18:C19)</f>
        <v>3520</v>
      </c>
      <c r="D20" s="208">
        <f>SUM(D18:D19)</f>
        <v>0</v>
      </c>
      <c r="E20" s="65">
        <f>SUM(E18:E19)</f>
        <v>3520</v>
      </c>
    </row>
    <row r="21" spans="1:5" x14ac:dyDescent="0.25">
      <c r="A21" s="20"/>
      <c r="B21" s="26"/>
      <c r="C21" s="66"/>
      <c r="D21" s="207"/>
      <c r="E21" s="66"/>
    </row>
    <row r="22" spans="1:5" x14ac:dyDescent="0.25">
      <c r="A22" s="20">
        <v>543500</v>
      </c>
      <c r="B22" s="26" t="s">
        <v>6</v>
      </c>
      <c r="C22" s="66">
        <v>3050</v>
      </c>
      <c r="D22" s="207"/>
      <c r="E22" s="66">
        <f>SUM(C22:D22)</f>
        <v>3050</v>
      </c>
    </row>
    <row r="23" spans="1:5" x14ac:dyDescent="0.25">
      <c r="A23" s="20">
        <v>543700</v>
      </c>
      <c r="B23" s="26" t="s">
        <v>43</v>
      </c>
      <c r="C23" s="66">
        <v>100</v>
      </c>
      <c r="D23" s="207"/>
      <c r="E23" s="66">
        <f>SUM(C23:D23)</f>
        <v>100</v>
      </c>
    </row>
    <row r="24" spans="1:5" x14ac:dyDescent="0.25">
      <c r="A24" s="6"/>
      <c r="B24" s="6" t="s">
        <v>9</v>
      </c>
      <c r="C24" s="65">
        <f>SUM(C22:C23)</f>
        <v>3150</v>
      </c>
      <c r="D24" s="208">
        <f>SUM(D22:D23)</f>
        <v>0</v>
      </c>
      <c r="E24" s="65">
        <f>SUM(E22:E23)</f>
        <v>3150</v>
      </c>
    </row>
    <row r="25" spans="1:5" x14ac:dyDescent="0.25">
      <c r="A25" s="20"/>
      <c r="B25" s="26"/>
      <c r="C25" s="66"/>
      <c r="D25" s="207"/>
      <c r="E25" s="66"/>
    </row>
    <row r="26" spans="1:5" x14ac:dyDescent="0.25">
      <c r="A26" s="20">
        <v>552400</v>
      </c>
      <c r="B26" s="26" t="s">
        <v>11</v>
      </c>
      <c r="C26" s="66">
        <v>3521</v>
      </c>
      <c r="D26" s="207"/>
      <c r="E26" s="66">
        <f>SUM(C26:D26)</f>
        <v>3521</v>
      </c>
    </row>
    <row r="27" spans="1:5" x14ac:dyDescent="0.25">
      <c r="A27" s="26"/>
      <c r="B27" s="6" t="s">
        <v>12</v>
      </c>
      <c r="C27" s="65">
        <f>SUM(C26)</f>
        <v>3521</v>
      </c>
      <c r="D27" s="208">
        <f>SUM(D26)</f>
        <v>0</v>
      </c>
      <c r="E27" s="65">
        <f>SUM(E26)</f>
        <v>3521</v>
      </c>
    </row>
    <row r="28" spans="1:5" x14ac:dyDescent="0.25">
      <c r="A28" s="9"/>
      <c r="B28" s="28"/>
      <c r="C28" s="64"/>
      <c r="D28" s="207"/>
      <c r="E28" s="64"/>
    </row>
    <row r="29" spans="1:5" s="1" customFormat="1" ht="13.8" x14ac:dyDescent="0.25">
      <c r="A29" s="10"/>
      <c r="B29" s="24" t="s">
        <v>82</v>
      </c>
      <c r="C29" s="67">
        <f>SUM(C20+C24+C27)</f>
        <v>10191</v>
      </c>
      <c r="D29" s="214">
        <f>SUM(D20+D24+D27)</f>
        <v>0</v>
      </c>
      <c r="E29" s="67">
        <f>SUM(E20+E24+E27)</f>
        <v>10191</v>
      </c>
    </row>
    <row r="30" spans="1:5" s="1" customFormat="1" ht="13.8" x14ac:dyDescent="0.25">
      <c r="A30" s="10"/>
      <c r="B30" s="24"/>
      <c r="C30" s="67"/>
      <c r="D30" s="214"/>
      <c r="E30" s="67"/>
    </row>
    <row r="31" spans="1:5" x14ac:dyDescent="0.25">
      <c r="A31" s="9"/>
      <c r="B31" s="9"/>
      <c r="C31" s="64"/>
      <c r="D31" s="207"/>
      <c r="E31" s="64"/>
    </row>
    <row r="32" spans="1:5" s="23" customFormat="1" ht="15.6" x14ac:dyDescent="0.3">
      <c r="A32" s="12" t="s">
        <v>167</v>
      </c>
      <c r="B32" s="12"/>
      <c r="C32" s="70">
        <f>SUM(C15+C29)</f>
        <v>46339</v>
      </c>
      <c r="D32" s="209">
        <f>SUM(D15+D29)</f>
        <v>0</v>
      </c>
      <c r="E32" s="70">
        <f>SUM(E15+E29)</f>
        <v>46339</v>
      </c>
    </row>
  </sheetData>
  <mergeCells count="1">
    <mergeCell ref="A4:B4"/>
  </mergeCells>
  <phoneticPr fontId="0" type="noConversion"/>
  <printOptions horizontalCentered="1"/>
  <pageMargins left="0.75" right="0.75" top="1" bottom="1" header="0.5" footer="0.5"/>
  <pageSetup scale="77" firstPageNumber="15" orientation="portrait" useFirstPageNumber="1" r:id="rId1"/>
  <headerFooter alignWithMargins="0">
    <oddFooter>&amp;C&amp;"Arial,Bold"&amp;P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E25"/>
  <sheetViews>
    <sheetView workbookViewId="0">
      <selection activeCell="A3" sqref="A3"/>
    </sheetView>
  </sheetViews>
  <sheetFormatPr defaultRowHeight="13.2" x14ac:dyDescent="0.25"/>
  <cols>
    <col min="1" max="1" width="11.6640625" customWidth="1"/>
    <col min="2" max="2" width="52.6640625" customWidth="1"/>
    <col min="3" max="3" width="17.6640625" customWidth="1"/>
    <col min="4" max="4" width="17.6640625" style="215" customWidth="1"/>
    <col min="5" max="5" width="17.6640625" customWidth="1"/>
  </cols>
  <sheetData>
    <row r="1" spans="1:5" ht="15.6" x14ac:dyDescent="0.3">
      <c r="A1" s="5" t="s">
        <v>261</v>
      </c>
    </row>
    <row r="2" spans="1:5" ht="15.6" x14ac:dyDescent="0.3">
      <c r="A2" s="5" t="s">
        <v>510</v>
      </c>
    </row>
    <row r="3" spans="1:5" ht="13.8" thickBot="1" x14ac:dyDescent="0.3"/>
    <row r="4" spans="1:5" ht="15.6" x14ac:dyDescent="0.3">
      <c r="A4" s="413" t="s">
        <v>95</v>
      </c>
      <c r="B4" s="414"/>
      <c r="C4" s="94" t="s">
        <v>483</v>
      </c>
      <c r="D4" s="356"/>
      <c r="E4" s="362" t="s">
        <v>511</v>
      </c>
    </row>
    <row r="5" spans="1:5" ht="15.6" x14ac:dyDescent="0.3">
      <c r="A5" s="60"/>
      <c r="B5" s="61"/>
      <c r="C5" s="93" t="s">
        <v>345</v>
      </c>
      <c r="D5" s="358"/>
      <c r="E5" s="363" t="s">
        <v>342</v>
      </c>
    </row>
    <row r="6" spans="1:5" ht="16.2" thickBot="1" x14ac:dyDescent="0.35">
      <c r="A6" s="13"/>
      <c r="B6" s="14"/>
      <c r="C6" s="14" t="s">
        <v>290</v>
      </c>
      <c r="D6" s="360" t="s">
        <v>493</v>
      </c>
      <c r="E6" s="364" t="s">
        <v>290</v>
      </c>
    </row>
    <row r="7" spans="1:5" ht="13.8" x14ac:dyDescent="0.25">
      <c r="A7" s="62">
        <v>71112</v>
      </c>
      <c r="B7" s="78" t="s">
        <v>32</v>
      </c>
      <c r="C7" s="25"/>
      <c r="D7" s="216"/>
      <c r="E7" s="25"/>
    </row>
    <row r="8" spans="1:5" x14ac:dyDescent="0.25">
      <c r="A8" s="57">
        <v>543500</v>
      </c>
      <c r="B8" s="9" t="s">
        <v>6</v>
      </c>
      <c r="C8" s="64">
        <v>68440</v>
      </c>
      <c r="D8" s="207"/>
      <c r="E8" s="64">
        <f>SUM(C8:D8)</f>
        <v>68440</v>
      </c>
    </row>
    <row r="9" spans="1:5" x14ac:dyDescent="0.25">
      <c r="A9" s="57">
        <v>542900</v>
      </c>
      <c r="B9" s="9" t="s">
        <v>28</v>
      </c>
      <c r="C9" s="64">
        <v>8000</v>
      </c>
      <c r="D9" s="207"/>
      <c r="E9" s="64">
        <f>SUM(C9:D9)</f>
        <v>8000</v>
      </c>
    </row>
    <row r="10" spans="1:5" x14ac:dyDescent="0.25">
      <c r="A10" s="57">
        <v>542950</v>
      </c>
      <c r="B10" s="9" t="s">
        <v>29</v>
      </c>
      <c r="C10" s="64">
        <v>3028</v>
      </c>
      <c r="D10" s="207"/>
      <c r="E10" s="64">
        <f>SUM(C10:D10)</f>
        <v>3028</v>
      </c>
    </row>
    <row r="11" spans="1:5" s="1" customFormat="1" x14ac:dyDescent="0.25">
      <c r="A11" s="10"/>
      <c r="B11" s="6" t="s">
        <v>9</v>
      </c>
      <c r="C11" s="65">
        <f>SUM(C8:C10)</f>
        <v>79468</v>
      </c>
      <c r="D11" s="208">
        <f>SUM(D8:D10)</f>
        <v>0</v>
      </c>
      <c r="E11" s="65">
        <f>SUM(E8:E10)</f>
        <v>79468</v>
      </c>
    </row>
    <row r="12" spans="1:5" x14ac:dyDescent="0.25">
      <c r="A12" s="9"/>
      <c r="B12" s="9"/>
      <c r="C12" s="64"/>
      <c r="D12" s="207"/>
      <c r="E12" s="64"/>
    </row>
    <row r="13" spans="1:5" s="1" customFormat="1" ht="13.8" x14ac:dyDescent="0.25">
      <c r="A13" s="10"/>
      <c r="B13" s="24" t="s">
        <v>81</v>
      </c>
      <c r="C13" s="67">
        <f>+C11</f>
        <v>79468</v>
      </c>
      <c r="D13" s="214">
        <f>+D11</f>
        <v>0</v>
      </c>
      <c r="E13" s="67">
        <f>+E11</f>
        <v>79468</v>
      </c>
    </row>
    <row r="14" spans="1:5" x14ac:dyDescent="0.25">
      <c r="A14" s="9"/>
      <c r="B14" s="9"/>
      <c r="C14" s="64"/>
      <c r="D14" s="207"/>
      <c r="E14" s="64"/>
    </row>
    <row r="15" spans="1:5" s="3" customFormat="1" ht="13.8" x14ac:dyDescent="0.25">
      <c r="A15" s="63">
        <v>72201</v>
      </c>
      <c r="B15" s="45" t="s">
        <v>37</v>
      </c>
      <c r="C15" s="68"/>
      <c r="D15" s="221"/>
      <c r="E15" s="68"/>
    </row>
    <row r="16" spans="1:5" ht="12.75" customHeight="1" x14ac:dyDescent="0.25">
      <c r="A16" s="57">
        <v>543500</v>
      </c>
      <c r="B16" s="9" t="s">
        <v>6</v>
      </c>
      <c r="C16" s="64">
        <v>1775</v>
      </c>
      <c r="D16" s="207"/>
      <c r="E16" s="64">
        <f>SUM(C16:D16)</f>
        <v>1775</v>
      </c>
    </row>
    <row r="17" spans="1:5" s="1" customFormat="1" x14ac:dyDescent="0.25">
      <c r="A17" s="6"/>
      <c r="B17" s="6" t="s">
        <v>9</v>
      </c>
      <c r="C17" s="65">
        <f>SUM(C16:C16)</f>
        <v>1775</v>
      </c>
      <c r="D17" s="208">
        <f>SUM(D16:D16)</f>
        <v>0</v>
      </c>
      <c r="E17" s="65">
        <f>SUM(E16:E16)</f>
        <v>1775</v>
      </c>
    </row>
    <row r="18" spans="1:5" x14ac:dyDescent="0.25">
      <c r="A18" s="57"/>
      <c r="B18" s="9"/>
      <c r="C18" s="64"/>
      <c r="D18" s="207"/>
      <c r="E18" s="64"/>
    </row>
    <row r="19" spans="1:5" x14ac:dyDescent="0.25">
      <c r="A19" s="57">
        <v>552400</v>
      </c>
      <c r="B19" s="9" t="s">
        <v>11</v>
      </c>
      <c r="C19" s="64">
        <v>5123</v>
      </c>
      <c r="D19" s="207"/>
      <c r="E19" s="64">
        <f>SUM(C19:D19)</f>
        <v>5123</v>
      </c>
    </row>
    <row r="20" spans="1:5" s="1" customFormat="1" x14ac:dyDescent="0.25">
      <c r="A20" s="10"/>
      <c r="B20" s="6" t="s">
        <v>12</v>
      </c>
      <c r="C20" s="65">
        <f>SUM(C19)</f>
        <v>5123</v>
      </c>
      <c r="D20" s="208">
        <f>SUM(D19)</f>
        <v>0</v>
      </c>
      <c r="E20" s="65">
        <f>SUM(E19)</f>
        <v>5123</v>
      </c>
    </row>
    <row r="21" spans="1:5" x14ac:dyDescent="0.25">
      <c r="A21" s="9"/>
      <c r="B21" s="9"/>
      <c r="C21" s="64"/>
      <c r="D21" s="207"/>
      <c r="E21" s="64"/>
    </row>
    <row r="22" spans="1:5" s="1" customFormat="1" ht="13.8" x14ac:dyDescent="0.25">
      <c r="A22" s="10"/>
      <c r="B22" s="24" t="s">
        <v>82</v>
      </c>
      <c r="C22" s="67">
        <f>+C20+C17</f>
        <v>6898</v>
      </c>
      <c r="D22" s="214">
        <f>+D20+D17</f>
        <v>0</v>
      </c>
      <c r="E22" s="67">
        <f>+E20+E17</f>
        <v>6898</v>
      </c>
    </row>
    <row r="23" spans="1:5" x14ac:dyDescent="0.25">
      <c r="A23" s="9"/>
      <c r="B23" s="9"/>
      <c r="C23" s="64"/>
      <c r="D23" s="207"/>
      <c r="E23" s="64"/>
    </row>
    <row r="24" spans="1:5" x14ac:dyDescent="0.25">
      <c r="A24" s="9"/>
      <c r="B24" s="9"/>
      <c r="C24" s="64"/>
      <c r="D24" s="207"/>
      <c r="E24" s="64"/>
    </row>
    <row r="25" spans="1:5" s="23" customFormat="1" ht="15.6" x14ac:dyDescent="0.3">
      <c r="A25" s="12" t="s">
        <v>97</v>
      </c>
      <c r="B25" s="12"/>
      <c r="C25" s="70">
        <f>SUM(C13+C22)</f>
        <v>86366</v>
      </c>
      <c r="D25" s="209">
        <f>SUM(D13+D22)</f>
        <v>0</v>
      </c>
      <c r="E25" s="70">
        <f>SUM(E13+E22)</f>
        <v>86366</v>
      </c>
    </row>
  </sheetData>
  <mergeCells count="1">
    <mergeCell ref="A4:B4"/>
  </mergeCells>
  <phoneticPr fontId="0" type="noConversion"/>
  <printOptions horizontalCentered="1"/>
  <pageMargins left="0.75" right="0.75" top="1" bottom="1" header="0.5" footer="0.5"/>
  <pageSetup scale="77" firstPageNumber="16" orientation="portrait" useFirstPageNumber="1" r:id="rId1"/>
  <headerFooter alignWithMargins="0">
    <oddFooter>&amp;C&amp;"Arial,Bold"&amp;P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E34"/>
  <sheetViews>
    <sheetView workbookViewId="0">
      <selection activeCell="D14" sqref="D14"/>
    </sheetView>
  </sheetViews>
  <sheetFormatPr defaultRowHeight="13.2" x14ac:dyDescent="0.25"/>
  <cols>
    <col min="1" max="1" width="11.6640625" customWidth="1"/>
    <col min="2" max="2" width="52.6640625" customWidth="1"/>
    <col min="3" max="3" width="17.6640625" customWidth="1"/>
    <col min="4" max="4" width="17.6640625" style="215" customWidth="1"/>
    <col min="5" max="6" width="17.6640625" customWidth="1"/>
  </cols>
  <sheetData>
    <row r="1" spans="1:5" ht="15.6" x14ac:dyDescent="0.3">
      <c r="A1" s="5" t="s">
        <v>261</v>
      </c>
    </row>
    <row r="2" spans="1:5" ht="15.6" x14ac:dyDescent="0.3">
      <c r="A2" s="5" t="s">
        <v>510</v>
      </c>
    </row>
    <row r="3" spans="1:5" ht="13.8" thickBot="1" x14ac:dyDescent="0.3"/>
    <row r="4" spans="1:5" ht="15.6" x14ac:dyDescent="0.3">
      <c r="A4" s="413" t="s">
        <v>38</v>
      </c>
      <c r="B4" s="414"/>
      <c r="C4" s="94" t="s">
        <v>483</v>
      </c>
      <c r="D4" s="356"/>
      <c r="E4" s="362" t="s">
        <v>511</v>
      </c>
    </row>
    <row r="5" spans="1:5" ht="15.6" x14ac:dyDescent="0.3">
      <c r="A5" s="60"/>
      <c r="B5" s="61"/>
      <c r="C5" s="93" t="s">
        <v>345</v>
      </c>
      <c r="D5" s="358"/>
      <c r="E5" s="363" t="s">
        <v>342</v>
      </c>
    </row>
    <row r="6" spans="1:5" ht="16.2" thickBot="1" x14ac:dyDescent="0.35">
      <c r="A6" s="13"/>
      <c r="B6" s="14"/>
      <c r="C6" s="14" t="s">
        <v>290</v>
      </c>
      <c r="D6" s="360" t="s">
        <v>493</v>
      </c>
      <c r="E6" s="364" t="s">
        <v>290</v>
      </c>
    </row>
    <row r="7" spans="1:5" ht="13.8" x14ac:dyDescent="0.25">
      <c r="A7" s="62">
        <v>71113</v>
      </c>
      <c r="B7" s="78" t="s">
        <v>32</v>
      </c>
      <c r="C7" s="25"/>
      <c r="D7" s="216"/>
      <c r="E7" s="25"/>
    </row>
    <row r="8" spans="1:5" x14ac:dyDescent="0.25">
      <c r="A8" s="71">
        <v>530800</v>
      </c>
      <c r="B8" s="42" t="s">
        <v>52</v>
      </c>
      <c r="C8" s="64">
        <v>1200</v>
      </c>
      <c r="D8" s="207"/>
      <c r="E8" s="64">
        <f>SUM(C8:D8)</f>
        <v>1200</v>
      </c>
    </row>
    <row r="9" spans="1:5" x14ac:dyDescent="0.25">
      <c r="A9" s="71">
        <v>533600</v>
      </c>
      <c r="B9" s="9" t="s">
        <v>295</v>
      </c>
      <c r="C9" s="64">
        <v>5000</v>
      </c>
      <c r="D9" s="207"/>
      <c r="E9" s="64">
        <f>SUM(C9:D9)</f>
        <v>5000</v>
      </c>
    </row>
    <row r="10" spans="1:5" x14ac:dyDescent="0.25">
      <c r="A10" s="43"/>
      <c r="B10" s="43" t="s">
        <v>4</v>
      </c>
      <c r="C10" s="65">
        <f>SUM(C8:C9)</f>
        <v>6200</v>
      </c>
      <c r="D10" s="208">
        <f>SUM(D8:D9)</f>
        <v>0</v>
      </c>
      <c r="E10" s="65">
        <f>SUM(E8:E9)</f>
        <v>6200</v>
      </c>
    </row>
    <row r="11" spans="1:5" x14ac:dyDescent="0.25">
      <c r="A11" s="72"/>
      <c r="B11" s="44"/>
      <c r="C11" s="64"/>
      <c r="D11" s="207"/>
      <c r="E11" s="64"/>
    </row>
    <row r="12" spans="1:5" x14ac:dyDescent="0.25">
      <c r="A12" s="72">
        <v>543500</v>
      </c>
      <c r="B12" s="44" t="s">
        <v>6</v>
      </c>
      <c r="C12" s="64">
        <v>2353</v>
      </c>
      <c r="D12" s="207"/>
      <c r="E12" s="64">
        <f>SUM(C12:D12)</f>
        <v>2353</v>
      </c>
    </row>
    <row r="13" spans="1:5" x14ac:dyDescent="0.25">
      <c r="A13" s="72">
        <v>542900</v>
      </c>
      <c r="B13" s="44" t="s">
        <v>28</v>
      </c>
      <c r="C13" s="64">
        <v>26107</v>
      </c>
      <c r="D13" s="207">
        <v>-4956</v>
      </c>
      <c r="E13" s="64">
        <f>SUM(C13:D13)</f>
        <v>21151</v>
      </c>
    </row>
    <row r="14" spans="1:5" x14ac:dyDescent="0.25">
      <c r="A14" s="72">
        <v>542950</v>
      </c>
      <c r="B14" s="44" t="s">
        <v>29</v>
      </c>
      <c r="C14" s="64">
        <v>3420</v>
      </c>
      <c r="D14" s="207"/>
      <c r="E14" s="64">
        <f>SUM(C14:D14)</f>
        <v>3420</v>
      </c>
    </row>
    <row r="15" spans="1:5" x14ac:dyDescent="0.25">
      <c r="A15" s="53"/>
      <c r="B15" s="43" t="s">
        <v>9</v>
      </c>
      <c r="C15" s="65">
        <f>SUM(C12:C14)</f>
        <v>31880</v>
      </c>
      <c r="D15" s="208">
        <f>SUM(D12:D14)</f>
        <v>-4956</v>
      </c>
      <c r="E15" s="65">
        <f>SUM(E12:E14)</f>
        <v>26924</v>
      </c>
    </row>
    <row r="16" spans="1:5" x14ac:dyDescent="0.25">
      <c r="A16" s="47"/>
      <c r="B16" s="44"/>
      <c r="C16" s="64"/>
      <c r="D16" s="207"/>
      <c r="E16" s="64"/>
    </row>
    <row r="17" spans="1:5" ht="13.8" x14ac:dyDescent="0.25">
      <c r="A17" s="53"/>
      <c r="B17" s="24" t="s">
        <v>81</v>
      </c>
      <c r="C17" s="67">
        <f>SUM(C10+C15)</f>
        <v>38080</v>
      </c>
      <c r="D17" s="214">
        <f>SUM(D10+D15)</f>
        <v>-4956</v>
      </c>
      <c r="E17" s="67">
        <f>SUM(E10+E15)</f>
        <v>33124</v>
      </c>
    </row>
    <row r="18" spans="1:5" x14ac:dyDescent="0.25">
      <c r="A18" s="47"/>
      <c r="B18" s="44"/>
      <c r="C18" s="64"/>
      <c r="D18" s="207"/>
      <c r="E18" s="64"/>
    </row>
    <row r="19" spans="1:5" ht="13.8" x14ac:dyDescent="0.25">
      <c r="A19" s="63">
        <v>72202</v>
      </c>
      <c r="B19" s="45" t="s">
        <v>37</v>
      </c>
      <c r="C19" s="64"/>
      <c r="D19" s="207"/>
      <c r="E19" s="64"/>
    </row>
    <row r="20" spans="1:5" x14ac:dyDescent="0.25">
      <c r="A20" s="72">
        <v>531200</v>
      </c>
      <c r="B20" s="44" t="s">
        <v>168</v>
      </c>
      <c r="C20" s="64">
        <v>1150</v>
      </c>
      <c r="D20" s="207"/>
      <c r="E20" s="64">
        <f>SUM(C20:D20)</f>
        <v>1150</v>
      </c>
    </row>
    <row r="21" spans="1:5" x14ac:dyDescent="0.25">
      <c r="A21" s="72">
        <v>535500</v>
      </c>
      <c r="B21" s="44" t="s">
        <v>2</v>
      </c>
      <c r="C21" s="64">
        <v>3500</v>
      </c>
      <c r="D21" s="207"/>
      <c r="E21" s="64">
        <f>SUM(C21:D21)</f>
        <v>3500</v>
      </c>
    </row>
    <row r="22" spans="1:5" x14ac:dyDescent="0.25">
      <c r="A22" s="43"/>
      <c r="B22" s="43" t="s">
        <v>4</v>
      </c>
      <c r="C22" s="65">
        <f>SUM(C20:C21)</f>
        <v>4650</v>
      </c>
      <c r="D22" s="208">
        <f>SUM(D20:D21)</f>
        <v>0</v>
      </c>
      <c r="E22" s="65">
        <f>SUM(E20:E21)</f>
        <v>4650</v>
      </c>
    </row>
    <row r="23" spans="1:5" x14ac:dyDescent="0.25">
      <c r="A23" s="72"/>
      <c r="B23" s="44"/>
      <c r="C23" s="64"/>
      <c r="D23" s="207"/>
      <c r="E23" s="64"/>
    </row>
    <row r="24" spans="1:5" x14ac:dyDescent="0.25">
      <c r="A24" s="72">
        <v>543500</v>
      </c>
      <c r="B24" s="44" t="s">
        <v>6</v>
      </c>
      <c r="C24" s="64">
        <v>2570</v>
      </c>
      <c r="D24" s="207"/>
      <c r="E24" s="64">
        <f>SUM(C24:D24)</f>
        <v>2570</v>
      </c>
    </row>
    <row r="25" spans="1:5" x14ac:dyDescent="0.25">
      <c r="A25" s="72">
        <v>542900</v>
      </c>
      <c r="B25" s="44" t="s">
        <v>28</v>
      </c>
      <c r="C25" s="64">
        <v>1550</v>
      </c>
      <c r="D25" s="207"/>
      <c r="E25" s="64">
        <f>SUM(C25:D25)</f>
        <v>1550</v>
      </c>
    </row>
    <row r="26" spans="1:5" x14ac:dyDescent="0.25">
      <c r="A26" s="43"/>
      <c r="B26" s="43" t="s">
        <v>9</v>
      </c>
      <c r="C26" s="65">
        <f>SUM(C24:C25)</f>
        <v>4120</v>
      </c>
      <c r="D26" s="208">
        <f>SUM(D24:D25)</f>
        <v>0</v>
      </c>
      <c r="E26" s="65">
        <f>SUM(E24:E25)</f>
        <v>4120</v>
      </c>
    </row>
    <row r="27" spans="1:5" x14ac:dyDescent="0.25">
      <c r="A27" s="72"/>
      <c r="B27" s="44"/>
      <c r="C27" s="64"/>
      <c r="D27" s="207"/>
      <c r="E27" s="64"/>
    </row>
    <row r="28" spans="1:5" x14ac:dyDescent="0.25">
      <c r="A28" s="72">
        <v>552400</v>
      </c>
      <c r="B28" s="44" t="s">
        <v>11</v>
      </c>
      <c r="C28" s="64">
        <v>9061</v>
      </c>
      <c r="D28" s="207"/>
      <c r="E28" s="64">
        <f>SUM(C28:D28)</f>
        <v>9061</v>
      </c>
    </row>
    <row r="29" spans="1:5" x14ac:dyDescent="0.25">
      <c r="A29" s="44"/>
      <c r="B29" s="43" t="s">
        <v>12</v>
      </c>
      <c r="C29" s="65">
        <f>SUM(C28)</f>
        <v>9061</v>
      </c>
      <c r="D29" s="208">
        <f>SUM(D28)</f>
        <v>0</v>
      </c>
      <c r="E29" s="65">
        <f>SUM(E28)</f>
        <v>9061</v>
      </c>
    </row>
    <row r="30" spans="1:5" x14ac:dyDescent="0.25">
      <c r="A30" s="44"/>
      <c r="B30" s="44"/>
      <c r="C30" s="64"/>
      <c r="D30" s="207"/>
      <c r="E30" s="64"/>
    </row>
    <row r="31" spans="1:5" ht="13.8" x14ac:dyDescent="0.25">
      <c r="A31" s="44"/>
      <c r="B31" s="24" t="s">
        <v>82</v>
      </c>
      <c r="C31" s="67">
        <f>SUM(C22+C26+C29)</f>
        <v>17831</v>
      </c>
      <c r="D31" s="214">
        <f>SUM(D22+D26+D29)</f>
        <v>0</v>
      </c>
      <c r="E31" s="67">
        <f>SUM(E22+E26+E29)</f>
        <v>17831</v>
      </c>
    </row>
    <row r="32" spans="1:5" x14ac:dyDescent="0.25">
      <c r="A32" s="9"/>
      <c r="B32" s="9"/>
      <c r="C32" s="64"/>
      <c r="D32" s="207"/>
      <c r="E32" s="64"/>
    </row>
    <row r="33" spans="1:5" x14ac:dyDescent="0.25">
      <c r="A33" s="9"/>
      <c r="B33" s="9"/>
      <c r="C33" s="64"/>
      <c r="D33" s="207"/>
      <c r="E33" s="64"/>
    </row>
    <row r="34" spans="1:5" s="23" customFormat="1" ht="15.6" x14ac:dyDescent="0.3">
      <c r="A34" s="12" t="s">
        <v>169</v>
      </c>
      <c r="B34" s="12"/>
      <c r="C34" s="70">
        <f>SUM(C17+C31)</f>
        <v>55911</v>
      </c>
      <c r="D34" s="209">
        <f>SUM(D17+D31)</f>
        <v>-4956</v>
      </c>
      <c r="E34" s="70">
        <f>SUM(E17+E31)</f>
        <v>50955</v>
      </c>
    </row>
  </sheetData>
  <mergeCells count="1">
    <mergeCell ref="A4:B4"/>
  </mergeCells>
  <phoneticPr fontId="0" type="noConversion"/>
  <printOptions horizontalCentered="1"/>
  <pageMargins left="0.75" right="0.75" top="1" bottom="1" header="0.5" footer="0.5"/>
  <pageSetup scale="77" firstPageNumber="17" orientation="portrait" useFirstPageNumber="1" r:id="rId1"/>
  <headerFooter alignWithMargins="0">
    <oddFooter>&amp;C&amp;"Arial,Bold"&amp;P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E24"/>
  <sheetViews>
    <sheetView workbookViewId="0">
      <selection activeCell="A3" sqref="A3"/>
    </sheetView>
  </sheetViews>
  <sheetFormatPr defaultRowHeight="13.2" x14ac:dyDescent="0.25"/>
  <cols>
    <col min="1" max="1" width="11.6640625" customWidth="1"/>
    <col min="2" max="2" width="52.6640625" customWidth="1"/>
    <col min="3" max="3" width="17.6640625" customWidth="1"/>
    <col min="4" max="4" width="17.6640625" style="210" customWidth="1"/>
    <col min="5" max="5" width="17.6640625" customWidth="1"/>
  </cols>
  <sheetData>
    <row r="1" spans="1:5" ht="15.6" x14ac:dyDescent="0.3">
      <c r="A1" s="5" t="s">
        <v>261</v>
      </c>
    </row>
    <row r="2" spans="1:5" ht="15.6" x14ac:dyDescent="0.3">
      <c r="A2" s="5" t="s">
        <v>510</v>
      </c>
    </row>
    <row r="3" spans="1:5" ht="13.8" thickBot="1" x14ac:dyDescent="0.3"/>
    <row r="4" spans="1:5" ht="15.6" x14ac:dyDescent="0.3">
      <c r="A4" s="413" t="s">
        <v>101</v>
      </c>
      <c r="B4" s="414"/>
      <c r="C4" s="94" t="s">
        <v>483</v>
      </c>
      <c r="D4" s="356"/>
      <c r="E4" s="362" t="s">
        <v>511</v>
      </c>
    </row>
    <row r="5" spans="1:5" ht="15.6" x14ac:dyDescent="0.3">
      <c r="A5" s="88"/>
      <c r="B5" s="61"/>
      <c r="C5" s="93" t="s">
        <v>345</v>
      </c>
      <c r="D5" s="358"/>
      <c r="E5" s="363" t="s">
        <v>342</v>
      </c>
    </row>
    <row r="6" spans="1:5" ht="16.2" thickBot="1" x14ac:dyDescent="0.35">
      <c r="A6" s="13"/>
      <c r="B6" s="14"/>
      <c r="C6" s="14" t="s">
        <v>290</v>
      </c>
      <c r="D6" s="360" t="s">
        <v>493</v>
      </c>
      <c r="E6" s="364" t="s">
        <v>290</v>
      </c>
    </row>
    <row r="7" spans="1:5" ht="13.8" x14ac:dyDescent="0.25">
      <c r="A7" s="62">
        <v>71114</v>
      </c>
      <c r="B7" s="78" t="s">
        <v>32</v>
      </c>
      <c r="C7" s="101"/>
      <c r="D7" s="213"/>
      <c r="E7" s="25"/>
    </row>
    <row r="8" spans="1:5" x14ac:dyDescent="0.25">
      <c r="A8" s="20">
        <v>542900</v>
      </c>
      <c r="B8" s="26" t="s">
        <v>28</v>
      </c>
      <c r="C8" s="66">
        <v>23858</v>
      </c>
      <c r="D8" s="66"/>
      <c r="E8" s="66">
        <f>SUM(C8:D8)</f>
        <v>23858</v>
      </c>
    </row>
    <row r="9" spans="1:5" s="1" customFormat="1" x14ac:dyDescent="0.25">
      <c r="A9" s="16"/>
      <c r="B9" s="6" t="s">
        <v>9</v>
      </c>
      <c r="C9" s="65">
        <f>SUM(C8:C8)</f>
        <v>23858</v>
      </c>
      <c r="D9" s="65">
        <f>SUM(D8:D8)</f>
        <v>0</v>
      </c>
      <c r="E9" s="65">
        <f>SUM(E8:E8)</f>
        <v>23858</v>
      </c>
    </row>
    <row r="10" spans="1:5" x14ac:dyDescent="0.25">
      <c r="A10" s="11"/>
      <c r="B10" s="9"/>
      <c r="C10" s="64"/>
      <c r="D10" s="64"/>
      <c r="E10" s="64"/>
    </row>
    <row r="11" spans="1:5" s="1" customFormat="1" ht="13.8" x14ac:dyDescent="0.25">
      <c r="A11" s="16"/>
      <c r="B11" s="45" t="s">
        <v>81</v>
      </c>
      <c r="C11" s="67">
        <f>SUM(C9)</f>
        <v>23858</v>
      </c>
      <c r="D11" s="67">
        <f>SUM(D9)</f>
        <v>0</v>
      </c>
      <c r="E11" s="67">
        <f>SUM(E9)</f>
        <v>23858</v>
      </c>
    </row>
    <row r="12" spans="1:5" x14ac:dyDescent="0.25">
      <c r="A12" s="11"/>
      <c r="B12" s="9"/>
      <c r="C12" s="64"/>
      <c r="D12" s="64"/>
      <c r="E12" s="64"/>
    </row>
    <row r="13" spans="1:5" s="3" customFormat="1" ht="13.8" x14ac:dyDescent="0.25">
      <c r="A13" s="63">
        <v>72203</v>
      </c>
      <c r="B13" s="45" t="s">
        <v>37</v>
      </c>
      <c r="C13" s="68"/>
      <c r="D13" s="68"/>
      <c r="E13" s="68"/>
    </row>
    <row r="14" spans="1:5" x14ac:dyDescent="0.25">
      <c r="A14" s="20">
        <v>543500</v>
      </c>
      <c r="B14" s="26" t="s">
        <v>6</v>
      </c>
      <c r="C14" s="66">
        <v>2500</v>
      </c>
      <c r="D14" s="66"/>
      <c r="E14" s="66">
        <f>SUM(C14:D14)</f>
        <v>2500</v>
      </c>
    </row>
    <row r="15" spans="1:5" x14ac:dyDescent="0.25">
      <c r="A15" s="20">
        <v>542950</v>
      </c>
      <c r="B15" s="26" t="s">
        <v>29</v>
      </c>
      <c r="C15" s="66">
        <v>150</v>
      </c>
      <c r="D15" s="66"/>
      <c r="E15" s="66">
        <f>SUM(C15:D15)</f>
        <v>150</v>
      </c>
    </row>
    <row r="16" spans="1:5" x14ac:dyDescent="0.25">
      <c r="A16" s="20"/>
      <c r="B16" s="6" t="s">
        <v>9</v>
      </c>
      <c r="C16" s="65">
        <f>SUM(C14:C15)</f>
        <v>2650</v>
      </c>
      <c r="D16" s="65">
        <f>SUM(D14:D15)</f>
        <v>0</v>
      </c>
      <c r="E16" s="65">
        <f>SUM(E14:E15)</f>
        <v>2650</v>
      </c>
    </row>
    <row r="17" spans="1:5" x14ac:dyDescent="0.25">
      <c r="A17" s="20"/>
      <c r="B17" s="26"/>
      <c r="C17" s="66"/>
      <c r="D17" s="66"/>
      <c r="E17" s="66"/>
    </row>
    <row r="18" spans="1:5" x14ac:dyDescent="0.25">
      <c r="A18" s="20">
        <v>552400</v>
      </c>
      <c r="B18" s="26" t="s">
        <v>11</v>
      </c>
      <c r="C18" s="66">
        <v>9000</v>
      </c>
      <c r="D18" s="66"/>
      <c r="E18" s="66">
        <f>SUM(C18:D18)</f>
        <v>9000</v>
      </c>
    </row>
    <row r="19" spans="1:5" x14ac:dyDescent="0.25">
      <c r="A19" s="8"/>
      <c r="B19" s="6" t="s">
        <v>12</v>
      </c>
      <c r="C19" s="65">
        <f>SUM(C18)</f>
        <v>9000</v>
      </c>
      <c r="D19" s="65">
        <f>SUM(D18)</f>
        <v>0</v>
      </c>
      <c r="E19" s="65">
        <f>SUM(E18)</f>
        <v>9000</v>
      </c>
    </row>
    <row r="20" spans="1:5" x14ac:dyDescent="0.25">
      <c r="A20" s="11"/>
      <c r="B20" s="9"/>
      <c r="C20" s="64"/>
      <c r="D20" s="64"/>
      <c r="E20" s="64"/>
    </row>
    <row r="21" spans="1:5" s="1" customFormat="1" ht="13.8" x14ac:dyDescent="0.25">
      <c r="A21" s="10"/>
      <c r="B21" s="24" t="s">
        <v>82</v>
      </c>
      <c r="C21" s="67">
        <f>SUM(+C16+C19)</f>
        <v>11650</v>
      </c>
      <c r="D21" s="67">
        <f>SUM(+D16+D19)</f>
        <v>0</v>
      </c>
      <c r="E21" s="67">
        <f>SUM(+E16+E19)</f>
        <v>11650</v>
      </c>
    </row>
    <row r="22" spans="1:5" x14ac:dyDescent="0.25">
      <c r="A22" s="9"/>
      <c r="B22" s="9"/>
      <c r="C22" s="64"/>
      <c r="D22" s="64"/>
      <c r="E22" s="64"/>
    </row>
    <row r="23" spans="1:5" x14ac:dyDescent="0.25">
      <c r="A23" s="9"/>
      <c r="B23" s="9"/>
      <c r="C23" s="64"/>
      <c r="D23" s="64"/>
      <c r="E23" s="64"/>
    </row>
    <row r="24" spans="1:5" s="23" customFormat="1" ht="15.6" x14ac:dyDescent="0.3">
      <c r="A24" s="12" t="s">
        <v>104</v>
      </c>
      <c r="B24" s="12"/>
      <c r="C24" s="70">
        <f>SUM(C11+C21)</f>
        <v>35508</v>
      </c>
      <c r="D24" s="70">
        <f>SUM(D11+D21)</f>
        <v>0</v>
      </c>
      <c r="E24" s="70">
        <f>SUM(E11+E21)</f>
        <v>35508</v>
      </c>
    </row>
  </sheetData>
  <mergeCells count="1">
    <mergeCell ref="A4:B4"/>
  </mergeCells>
  <phoneticPr fontId="0" type="noConversion"/>
  <printOptions horizontalCentered="1"/>
  <pageMargins left="0.75" right="0.75" top="1" bottom="1" header="0.5" footer="0.5"/>
  <pageSetup scale="77" firstPageNumber="18" orientation="portrait" useFirstPageNumber="1" r:id="rId1"/>
  <headerFooter alignWithMargins="0">
    <oddFooter>&amp;C&amp;"Arial,Bold"&amp;P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14"/>
  <sheetViews>
    <sheetView topLeftCell="A142" zoomScaleNormal="100" workbookViewId="0">
      <selection activeCell="L143" sqref="L143"/>
    </sheetView>
  </sheetViews>
  <sheetFormatPr defaultRowHeight="13.2" x14ac:dyDescent="0.25"/>
  <cols>
    <col min="1" max="1" width="10.44140625" customWidth="1"/>
    <col min="2" max="2" width="40.6640625" customWidth="1"/>
    <col min="4" max="4" width="15.44140625" customWidth="1"/>
    <col min="5" max="5" width="14.5546875" style="215" customWidth="1"/>
    <col min="6" max="6" width="16.6640625" customWidth="1"/>
    <col min="7" max="7" width="10" customWidth="1"/>
    <col min="8" max="8" width="15.33203125" customWidth="1"/>
    <col min="9" max="10" width="10" customWidth="1"/>
    <col min="11" max="11" width="3.109375" customWidth="1"/>
    <col min="12" max="12" width="15.44140625" customWidth="1"/>
    <col min="13" max="14" width="8.44140625" customWidth="1"/>
    <col min="15" max="15" width="12.109375" customWidth="1"/>
    <col min="16" max="16" width="1.5546875" customWidth="1"/>
  </cols>
  <sheetData>
    <row r="1" spans="1:14" ht="15.6" x14ac:dyDescent="0.3">
      <c r="A1" s="5" t="s">
        <v>261</v>
      </c>
      <c r="D1" s="125"/>
      <c r="F1" s="126"/>
      <c r="G1" s="126"/>
      <c r="I1" s="215"/>
      <c r="J1" s="215"/>
      <c r="M1" s="59"/>
      <c r="N1" s="59"/>
    </row>
    <row r="2" spans="1:14" ht="15.6" x14ac:dyDescent="0.3">
      <c r="A2" s="5" t="s">
        <v>514</v>
      </c>
      <c r="I2" s="215"/>
      <c r="J2" s="215"/>
      <c r="M2" s="59"/>
      <c r="N2" s="59"/>
    </row>
    <row r="3" spans="1:14" ht="15.6" x14ac:dyDescent="0.3">
      <c r="A3" s="5" t="s">
        <v>369</v>
      </c>
      <c r="E3" s="144"/>
      <c r="F3" s="290" t="s">
        <v>318</v>
      </c>
      <c r="I3" s="215"/>
      <c r="J3" s="215"/>
      <c r="M3" s="59"/>
      <c r="N3" s="59"/>
    </row>
    <row r="4" spans="1:14" ht="13.8" x14ac:dyDescent="0.25">
      <c r="A4" s="128"/>
      <c r="B4" s="128"/>
      <c r="C4" s="128"/>
      <c r="D4" s="129"/>
      <c r="E4" s="190"/>
      <c r="F4" s="129" t="s">
        <v>511</v>
      </c>
      <c r="G4" s="187"/>
    </row>
    <row r="5" spans="1:14" ht="13.8" x14ac:dyDescent="0.25">
      <c r="A5" s="131" t="s">
        <v>370</v>
      </c>
      <c r="B5" s="128"/>
      <c r="C5" s="128"/>
      <c r="D5" s="129" t="s">
        <v>345</v>
      </c>
      <c r="E5" s="190" t="s">
        <v>319</v>
      </c>
      <c r="F5" s="129" t="s">
        <v>432</v>
      </c>
      <c r="G5" s="187"/>
    </row>
    <row r="6" spans="1:14" ht="14.4" thickBot="1" x14ac:dyDescent="0.3">
      <c r="A6" s="133" t="s">
        <v>322</v>
      </c>
      <c r="B6" s="134" t="s">
        <v>323</v>
      </c>
      <c r="C6" s="133" t="s">
        <v>371</v>
      </c>
      <c r="D6" s="135" t="s">
        <v>290</v>
      </c>
      <c r="E6" s="212" t="s">
        <v>317</v>
      </c>
      <c r="F6" s="135" t="s">
        <v>433</v>
      </c>
      <c r="G6" s="393" t="s">
        <v>372</v>
      </c>
      <c r="H6" s="393"/>
      <c r="I6" s="87"/>
    </row>
    <row r="7" spans="1:14" ht="13.8" x14ac:dyDescent="0.25">
      <c r="A7" s="87"/>
      <c r="B7" s="239"/>
      <c r="C7" s="87"/>
      <c r="D7" s="240"/>
      <c r="E7" s="258"/>
      <c r="F7" s="87"/>
      <c r="G7" s="87"/>
      <c r="H7" s="87"/>
    </row>
    <row r="8" spans="1:14" x14ac:dyDescent="0.25">
      <c r="A8" s="241">
        <v>72310</v>
      </c>
      <c r="B8" s="242" t="s">
        <v>373</v>
      </c>
      <c r="C8" s="241">
        <v>58</v>
      </c>
      <c r="D8" s="243">
        <f>+Board!C10+Board!C12+Board!C13+Board!C14+Board!C15+Board!C16+Board!C18+Board!C27+Board!C31+Board!C37</f>
        <v>534753</v>
      </c>
      <c r="E8" s="285">
        <f>+Board!D10+Board!D12+Board!D13+Board!D14+Board!D15+Board!D16+Board!D18+Board!D27+Board!D31+Board!D37</f>
        <v>312</v>
      </c>
      <c r="F8" s="244">
        <f>SUM(D8:E8)</f>
        <v>535065</v>
      </c>
      <c r="G8" s="2" t="s">
        <v>216</v>
      </c>
      <c r="H8" s="2"/>
    </row>
    <row r="9" spans="1:14" x14ac:dyDescent="0.25">
      <c r="A9" s="241">
        <v>72510</v>
      </c>
      <c r="B9" s="242" t="s">
        <v>224</v>
      </c>
      <c r="C9" s="241">
        <v>60</v>
      </c>
      <c r="D9" s="243">
        <f>+Fiscal!C37</f>
        <v>1383592</v>
      </c>
      <c r="E9" s="285">
        <f>+Fiscal!D37</f>
        <v>808</v>
      </c>
      <c r="F9" s="244">
        <f>SUM(D9:E9)</f>
        <v>1384400</v>
      </c>
      <c r="G9" s="2" t="s">
        <v>223</v>
      </c>
      <c r="H9" s="2"/>
      <c r="L9" s="2"/>
    </row>
    <row r="10" spans="1:14" x14ac:dyDescent="0.25">
      <c r="A10" s="241">
        <v>72320</v>
      </c>
      <c r="B10" s="242" t="s">
        <v>375</v>
      </c>
      <c r="C10" s="241">
        <v>59</v>
      </c>
      <c r="D10" s="243">
        <f>+Super!C37</f>
        <v>689843</v>
      </c>
      <c r="E10" s="285">
        <f>+Super!D37</f>
        <v>-85</v>
      </c>
      <c r="F10" s="244">
        <f>SUM(D10:E10)</f>
        <v>689758</v>
      </c>
      <c r="G10" s="2" t="s">
        <v>216</v>
      </c>
      <c r="H10" s="2"/>
    </row>
    <row r="11" spans="1:14" x14ac:dyDescent="0.25">
      <c r="A11" s="241">
        <v>72823</v>
      </c>
      <c r="B11" s="242" t="s">
        <v>489</v>
      </c>
      <c r="C11" s="241">
        <v>73</v>
      </c>
      <c r="D11" s="243">
        <f>+Public!C32</f>
        <v>870405</v>
      </c>
      <c r="E11" s="285">
        <f>+Public!D32</f>
        <v>2158</v>
      </c>
      <c r="F11" s="244">
        <f>SUM(D11:E11)</f>
        <v>872563</v>
      </c>
      <c r="G11" s="2" t="s">
        <v>26</v>
      </c>
      <c r="H11" s="2"/>
    </row>
    <row r="12" spans="1:14" x14ac:dyDescent="0.25">
      <c r="A12" s="241">
        <v>72820</v>
      </c>
      <c r="B12" s="242" t="s">
        <v>47</v>
      </c>
      <c r="C12" s="241">
        <v>72</v>
      </c>
      <c r="D12" s="243">
        <f>+Publications!C16</f>
        <v>88000</v>
      </c>
      <c r="E12" s="285">
        <f>+Publications!D16</f>
        <v>0</v>
      </c>
      <c r="F12" s="244">
        <f>SUM(D12:E12)</f>
        <v>88000</v>
      </c>
      <c r="G12" s="2" t="s">
        <v>26</v>
      </c>
      <c r="H12" s="2"/>
    </row>
    <row r="13" spans="1:14" ht="13.8" x14ac:dyDescent="0.25">
      <c r="A13" s="245"/>
      <c r="B13" s="246" t="s">
        <v>374</v>
      </c>
      <c r="C13" s="245"/>
      <c r="D13" s="247">
        <f>SUM(D8:D12)</f>
        <v>3566593</v>
      </c>
      <c r="E13" s="286">
        <f>SUM(E8:E12)</f>
        <v>3193</v>
      </c>
      <c r="F13" s="248">
        <f>SUM(F8:F12)</f>
        <v>3569786</v>
      </c>
      <c r="G13" s="137"/>
      <c r="H13" s="137"/>
    </row>
    <row r="14" spans="1:14" x14ac:dyDescent="0.25">
      <c r="A14" s="245"/>
      <c r="B14" s="249"/>
      <c r="C14" s="245"/>
      <c r="D14" s="374">
        <f>+D13/D145</f>
        <v>8.4945780449523309E-3</v>
      </c>
      <c r="E14" s="307">
        <f>+E13/D13</f>
        <v>8.9525213558149192E-4</v>
      </c>
      <c r="F14" s="374">
        <f>+F13/F145</f>
        <v>8.4017698906763E-3</v>
      </c>
      <c r="G14" s="137"/>
      <c r="H14" s="137"/>
    </row>
    <row r="15" spans="1:14" x14ac:dyDescent="0.25">
      <c r="A15" s="241"/>
      <c r="B15" s="242"/>
      <c r="C15" s="241"/>
      <c r="D15" s="243"/>
      <c r="E15" s="287"/>
      <c r="F15" s="244"/>
      <c r="G15" s="2"/>
      <c r="H15" s="2"/>
    </row>
    <row r="16" spans="1:14" x14ac:dyDescent="0.25">
      <c r="A16" s="241">
        <v>72520</v>
      </c>
      <c r="B16" s="242" t="s">
        <v>459</v>
      </c>
      <c r="C16" s="241">
        <v>66</v>
      </c>
      <c r="D16" s="243">
        <f>+'HR Operations'!C42</f>
        <v>1385164</v>
      </c>
      <c r="E16" s="285">
        <f>+'HR Operations'!D42</f>
        <v>52606</v>
      </c>
      <c r="F16" s="244">
        <f>SUM(D16:E16)</f>
        <v>1437770</v>
      </c>
      <c r="G16" s="2" t="s">
        <v>26</v>
      </c>
      <c r="H16" s="2"/>
    </row>
    <row r="17" spans="1:8" x14ac:dyDescent="0.25">
      <c r="A17" s="241">
        <v>72530</v>
      </c>
      <c r="B17" s="242" t="s">
        <v>461</v>
      </c>
      <c r="C17" s="241">
        <v>67</v>
      </c>
      <c r="D17" s="243">
        <f>+'HR Benefits'!C34</f>
        <v>611329</v>
      </c>
      <c r="E17" s="243">
        <f>+'HR Benefits'!D34</f>
        <v>672</v>
      </c>
      <c r="F17" s="244">
        <f>SUM(D17:E17)</f>
        <v>612001</v>
      </c>
      <c r="G17" s="2" t="s">
        <v>26</v>
      </c>
      <c r="H17" s="2"/>
    </row>
    <row r="18" spans="1:8" x14ac:dyDescent="0.25">
      <c r="A18" s="241">
        <v>72619</v>
      </c>
      <c r="B18" s="242" t="s">
        <v>138</v>
      </c>
      <c r="C18" s="241">
        <v>62</v>
      </c>
      <c r="D18" s="243">
        <f>+Security!C36</f>
        <v>3628481</v>
      </c>
      <c r="E18" s="285">
        <f>+Security!D36</f>
        <v>363456</v>
      </c>
      <c r="F18" s="244">
        <f>SUM(D18:E18)</f>
        <v>3991937</v>
      </c>
      <c r="G18" s="2" t="s">
        <v>21</v>
      </c>
      <c r="H18" s="2"/>
    </row>
    <row r="19" spans="1:8" ht="13.8" x14ac:dyDescent="0.25">
      <c r="A19" s="245"/>
      <c r="B19" s="246" t="s">
        <v>440</v>
      </c>
      <c r="C19" s="245"/>
      <c r="D19" s="247">
        <f>SUM(D16:D18)</f>
        <v>5624974</v>
      </c>
      <c r="E19" s="286">
        <f>SUM(E16:E18)</f>
        <v>416734</v>
      </c>
      <c r="F19" s="248">
        <f>SUM(F16:F18)</f>
        <v>6041708</v>
      </c>
      <c r="G19" s="137"/>
      <c r="H19" s="137"/>
    </row>
    <row r="20" spans="1:8" x14ac:dyDescent="0.25">
      <c r="A20" s="245"/>
      <c r="B20" s="249"/>
      <c r="C20" s="245"/>
      <c r="D20" s="374">
        <f>+D19/D145</f>
        <v>1.3397037633345798E-2</v>
      </c>
      <c r="E20" s="307">
        <f>+E19/D19</f>
        <v>7.4086386888188277E-2</v>
      </c>
      <c r="F20" s="374">
        <f>+F19/F145</f>
        <v>1.421963119432317E-2</v>
      </c>
      <c r="G20" s="137"/>
      <c r="H20" s="137"/>
    </row>
    <row r="21" spans="1:8" x14ac:dyDescent="0.25">
      <c r="A21" s="241"/>
      <c r="B21" s="242"/>
      <c r="C21" s="241"/>
      <c r="D21" s="243"/>
      <c r="E21" s="285"/>
      <c r="F21" s="244"/>
      <c r="G21" s="2"/>
      <c r="H21" s="2"/>
    </row>
    <row r="22" spans="1:8" x14ac:dyDescent="0.25">
      <c r="A22" s="241">
        <v>72310</v>
      </c>
      <c r="B22" s="242" t="s">
        <v>376</v>
      </c>
      <c r="C22" s="241">
        <v>58</v>
      </c>
      <c r="D22" s="243">
        <f>+Board!C34</f>
        <v>400000</v>
      </c>
      <c r="E22" s="285">
        <f>+Board!D34</f>
        <v>0</v>
      </c>
      <c r="F22" s="244">
        <f>SUM(D22:E22)</f>
        <v>400000</v>
      </c>
      <c r="G22" s="2" t="s">
        <v>216</v>
      </c>
      <c r="H22" s="2"/>
    </row>
    <row r="23" spans="1:8" x14ac:dyDescent="0.25">
      <c r="A23" s="241">
        <v>72310</v>
      </c>
      <c r="B23" s="242" t="s">
        <v>378</v>
      </c>
      <c r="C23" s="241">
        <v>58</v>
      </c>
      <c r="D23" s="243">
        <f>+Board!C17</f>
        <v>380000</v>
      </c>
      <c r="E23" s="285">
        <f>+Board!D17</f>
        <v>0</v>
      </c>
      <c r="F23" s="244">
        <f>SUM(D23:E23)</f>
        <v>380000</v>
      </c>
      <c r="G23" s="2" t="s">
        <v>216</v>
      </c>
      <c r="H23" s="2"/>
    </row>
    <row r="24" spans="1:8" x14ac:dyDescent="0.25">
      <c r="A24" s="241">
        <v>72310</v>
      </c>
      <c r="B24" s="242" t="s">
        <v>379</v>
      </c>
      <c r="C24" s="241">
        <v>58</v>
      </c>
      <c r="D24" s="243">
        <f>+Board!C35</f>
        <v>3843161</v>
      </c>
      <c r="E24" s="285">
        <f>+Board!D35</f>
        <v>-100000</v>
      </c>
      <c r="F24" s="244">
        <f>SUM(D24:E24)</f>
        <v>3743161</v>
      </c>
      <c r="G24" s="2" t="s">
        <v>216</v>
      </c>
      <c r="H24" s="2"/>
    </row>
    <row r="25" spans="1:8" x14ac:dyDescent="0.25">
      <c r="A25" s="241">
        <v>72310</v>
      </c>
      <c r="B25" s="242" t="s">
        <v>380</v>
      </c>
      <c r="C25" s="241">
        <v>58</v>
      </c>
      <c r="D25" s="243">
        <f>+Board!C33</f>
        <v>1215000</v>
      </c>
      <c r="E25" s="285">
        <f>+Board!D33</f>
        <v>100000</v>
      </c>
      <c r="F25" s="244">
        <f>SUM(D25:E25)</f>
        <v>1315000</v>
      </c>
      <c r="G25" s="2" t="s">
        <v>216</v>
      </c>
      <c r="H25" s="2"/>
    </row>
    <row r="26" spans="1:8" x14ac:dyDescent="0.25">
      <c r="A26" s="241">
        <v>79000</v>
      </c>
      <c r="B26" s="242" t="s">
        <v>381</v>
      </c>
      <c r="C26" s="241">
        <v>76</v>
      </c>
      <c r="D26" s="243">
        <f>+Other!C9</f>
        <v>7832486</v>
      </c>
      <c r="E26" s="285">
        <f>+Other!D9</f>
        <v>0</v>
      </c>
      <c r="F26" s="244">
        <f>SUM(D26:E26)</f>
        <v>7832486</v>
      </c>
      <c r="G26" s="2" t="s">
        <v>215</v>
      </c>
      <c r="H26" s="2"/>
    </row>
    <row r="27" spans="1:8" ht="13.8" x14ac:dyDescent="0.25">
      <c r="A27" s="245"/>
      <c r="B27" s="246" t="s">
        <v>377</v>
      </c>
      <c r="C27" s="245"/>
      <c r="D27" s="247">
        <f>SUM(D22:D26)</f>
        <v>13670647</v>
      </c>
      <c r="E27" s="286">
        <f>SUM(E22:E26)</f>
        <v>0</v>
      </c>
      <c r="F27" s="248">
        <f>SUM(F22:F26)</f>
        <v>13670647</v>
      </c>
      <c r="G27" s="137"/>
      <c r="H27" s="137"/>
    </row>
    <row r="28" spans="1:8" x14ac:dyDescent="0.25">
      <c r="A28" s="245"/>
      <c r="B28" s="249"/>
      <c r="C28" s="245"/>
      <c r="D28" s="374">
        <f>+D27/D145</f>
        <v>3.2559470022650028E-2</v>
      </c>
      <c r="E28" s="307">
        <f>+E27/D27</f>
        <v>0</v>
      </c>
      <c r="F28" s="374">
        <f>+F27/F145</f>
        <v>3.2174934394012498E-2</v>
      </c>
      <c r="G28" s="137"/>
      <c r="H28" s="137"/>
    </row>
    <row r="29" spans="1:8" x14ac:dyDescent="0.25">
      <c r="A29" s="241"/>
      <c r="B29" s="242"/>
      <c r="C29" s="241"/>
      <c r="D29" s="243"/>
      <c r="E29" s="285"/>
      <c r="F29" s="244"/>
      <c r="G29" s="2"/>
      <c r="H29" s="2"/>
    </row>
    <row r="30" spans="1:8" x14ac:dyDescent="0.25">
      <c r="A30" s="241">
        <v>72260</v>
      </c>
      <c r="B30" s="250" t="s">
        <v>126</v>
      </c>
      <c r="C30" s="241">
        <v>45</v>
      </c>
      <c r="D30" s="243">
        <f>+Adult!C29</f>
        <v>87836</v>
      </c>
      <c r="E30" s="285">
        <f>+Adult!D29</f>
        <v>184</v>
      </c>
      <c r="F30" s="244">
        <f t="shared" ref="F30:F99" si="0">SUM(D30:E30)</f>
        <v>88020</v>
      </c>
      <c r="G30" s="2" t="s">
        <v>37</v>
      </c>
      <c r="H30" s="2"/>
    </row>
    <row r="31" spans="1:8" x14ac:dyDescent="0.25">
      <c r="A31" s="241">
        <v>71150</v>
      </c>
      <c r="B31" s="242" t="s">
        <v>383</v>
      </c>
      <c r="C31" s="241">
        <v>32</v>
      </c>
      <c r="D31" s="244">
        <f>+Alt!C27</f>
        <v>1862654</v>
      </c>
      <c r="E31" s="287">
        <f>+Alt!D27</f>
        <v>-44918</v>
      </c>
      <c r="F31" s="244">
        <f t="shared" si="0"/>
        <v>1817736</v>
      </c>
      <c r="G31" s="2" t="s">
        <v>32</v>
      </c>
      <c r="H31" s="2"/>
    </row>
    <row r="32" spans="1:8" x14ac:dyDescent="0.25">
      <c r="A32" s="241">
        <v>72215</v>
      </c>
      <c r="B32" s="242" t="s">
        <v>384</v>
      </c>
      <c r="C32" s="241">
        <v>32</v>
      </c>
      <c r="D32" s="244">
        <f>+Alt!C57</f>
        <v>660308</v>
      </c>
      <c r="E32" s="287">
        <f>+Alt!D57</f>
        <v>11687</v>
      </c>
      <c r="F32" s="244">
        <f t="shared" si="0"/>
        <v>671995</v>
      </c>
      <c r="G32" s="2" t="s">
        <v>37</v>
      </c>
      <c r="H32" s="2"/>
    </row>
    <row r="33" spans="1:8" x14ac:dyDescent="0.25">
      <c r="A33" s="241">
        <v>71101</v>
      </c>
      <c r="B33" s="250" t="s">
        <v>385</v>
      </c>
      <c r="C33" s="241">
        <v>7</v>
      </c>
      <c r="D33" s="244">
        <f>+Art!C15</f>
        <v>228930</v>
      </c>
      <c r="E33" s="287">
        <f>+Art!D15</f>
        <v>-21089</v>
      </c>
      <c r="F33" s="244">
        <f t="shared" si="0"/>
        <v>207841</v>
      </c>
      <c r="G33" s="2" t="s">
        <v>32</v>
      </c>
      <c r="H33" s="2"/>
    </row>
    <row r="34" spans="1:8" x14ac:dyDescent="0.25">
      <c r="A34" s="241">
        <v>72218</v>
      </c>
      <c r="B34" s="250" t="s">
        <v>386</v>
      </c>
      <c r="C34" s="241">
        <v>7</v>
      </c>
      <c r="D34" s="244">
        <f>+Art!C31</f>
        <v>16802</v>
      </c>
      <c r="E34" s="287">
        <f>+Art!D31</f>
        <v>0</v>
      </c>
      <c r="F34" s="244">
        <f t="shared" si="0"/>
        <v>16802</v>
      </c>
      <c r="G34" s="2" t="s">
        <v>37</v>
      </c>
      <c r="H34" s="2"/>
    </row>
    <row r="35" spans="1:8" x14ac:dyDescent="0.25">
      <c r="A35" s="241">
        <v>71125</v>
      </c>
      <c r="B35" s="250" t="s">
        <v>176</v>
      </c>
      <c r="C35" s="241">
        <v>40</v>
      </c>
      <c r="D35" s="243">
        <f>+Athletics!C21</f>
        <v>291366</v>
      </c>
      <c r="E35" s="285">
        <f>+Athletics!D21</f>
        <v>0</v>
      </c>
      <c r="F35" s="244">
        <f t="shared" si="0"/>
        <v>291366</v>
      </c>
      <c r="G35" s="2" t="s">
        <v>37</v>
      </c>
      <c r="H35" s="2"/>
    </row>
    <row r="36" spans="1:8" x14ac:dyDescent="0.25">
      <c r="A36" s="241">
        <v>72110</v>
      </c>
      <c r="B36" s="250" t="s">
        <v>197</v>
      </c>
      <c r="C36" s="241">
        <v>50</v>
      </c>
      <c r="D36" s="243">
        <f>+Attendance!C34</f>
        <v>1775177</v>
      </c>
      <c r="E36" s="285">
        <f>+Attendance!D34</f>
        <v>6703</v>
      </c>
      <c r="F36" s="244">
        <f t="shared" si="0"/>
        <v>1781880</v>
      </c>
      <c r="G36" s="2" t="s">
        <v>154</v>
      </c>
      <c r="H36" s="2"/>
    </row>
    <row r="37" spans="1:8" x14ac:dyDescent="0.25">
      <c r="A37" s="241">
        <v>71135</v>
      </c>
      <c r="B37" s="242" t="s">
        <v>83</v>
      </c>
      <c r="C37" s="241">
        <v>28</v>
      </c>
      <c r="D37" s="244">
        <f>+Magnets!C39</f>
        <v>85114</v>
      </c>
      <c r="E37" s="287">
        <f>+Magnets!D39</f>
        <v>-10000</v>
      </c>
      <c r="F37" s="244">
        <f t="shared" si="0"/>
        <v>75114</v>
      </c>
      <c r="G37" s="2" t="s">
        <v>32</v>
      </c>
      <c r="H37" s="2"/>
    </row>
    <row r="38" spans="1:8" x14ac:dyDescent="0.25">
      <c r="A38" s="241">
        <v>71102</v>
      </c>
      <c r="B38" s="250" t="s">
        <v>387</v>
      </c>
      <c r="C38" s="241">
        <v>8</v>
      </c>
      <c r="D38" s="244">
        <f>+Elem!C13</f>
        <v>979075</v>
      </c>
      <c r="E38" s="287">
        <f>+Elem!D13</f>
        <v>-148439</v>
      </c>
      <c r="F38" s="244">
        <f t="shared" si="0"/>
        <v>830636</v>
      </c>
      <c r="G38" s="2" t="s">
        <v>32</v>
      </c>
      <c r="H38" s="2"/>
    </row>
    <row r="39" spans="1:8" x14ac:dyDescent="0.25">
      <c r="A39" s="241">
        <v>72219</v>
      </c>
      <c r="B39" s="250" t="s">
        <v>388</v>
      </c>
      <c r="C39" s="241">
        <v>8</v>
      </c>
      <c r="D39" s="244">
        <f>+Elem!C32</f>
        <v>83504</v>
      </c>
      <c r="E39" s="287">
        <f>+Elem!D32</f>
        <v>0</v>
      </c>
      <c r="F39" s="244">
        <f t="shared" si="0"/>
        <v>83504</v>
      </c>
      <c r="G39" s="2" t="s">
        <v>37</v>
      </c>
      <c r="H39" s="2"/>
    </row>
    <row r="40" spans="1:8" x14ac:dyDescent="0.25">
      <c r="A40" s="241">
        <v>71103</v>
      </c>
      <c r="B40" s="250" t="s">
        <v>389</v>
      </c>
      <c r="C40" s="241">
        <v>9</v>
      </c>
      <c r="D40" s="244">
        <f>+Middle!C13</f>
        <v>415500</v>
      </c>
      <c r="E40" s="287">
        <f>+Middle!D13</f>
        <v>-48223</v>
      </c>
      <c r="F40" s="244">
        <f t="shared" si="0"/>
        <v>367277</v>
      </c>
      <c r="G40" s="2" t="s">
        <v>32</v>
      </c>
      <c r="H40" s="2"/>
    </row>
    <row r="41" spans="1:8" x14ac:dyDescent="0.25">
      <c r="A41" s="241">
        <v>72221</v>
      </c>
      <c r="B41" s="250" t="s">
        <v>390</v>
      </c>
      <c r="C41" s="241">
        <v>9</v>
      </c>
      <c r="D41" s="244">
        <f>+Middle!C28</f>
        <v>47530</v>
      </c>
      <c r="E41" s="287">
        <f>+Middle!D28</f>
        <v>0</v>
      </c>
      <c r="F41" s="244">
        <f t="shared" si="0"/>
        <v>47530</v>
      </c>
      <c r="G41" s="2" t="s">
        <v>37</v>
      </c>
      <c r="H41" s="2"/>
    </row>
    <row r="42" spans="1:8" x14ac:dyDescent="0.25">
      <c r="A42" s="241">
        <v>71104</v>
      </c>
      <c r="B42" s="250" t="s">
        <v>391</v>
      </c>
      <c r="C42" s="241">
        <v>10</v>
      </c>
      <c r="D42" s="244">
        <f>+Sec!C16</f>
        <v>961250</v>
      </c>
      <c r="E42" s="287">
        <f>+Sec!D16</f>
        <v>-60338</v>
      </c>
      <c r="F42" s="244">
        <f t="shared" si="0"/>
        <v>900912</v>
      </c>
      <c r="G42" s="2" t="s">
        <v>32</v>
      </c>
      <c r="H42" s="2"/>
    </row>
    <row r="43" spans="1:8" x14ac:dyDescent="0.25">
      <c r="A43" s="241">
        <v>72222</v>
      </c>
      <c r="B43" s="250" t="s">
        <v>392</v>
      </c>
      <c r="C43" s="241">
        <v>10</v>
      </c>
      <c r="D43" s="244">
        <f>+Sec!C36</f>
        <v>97970</v>
      </c>
      <c r="E43" s="287">
        <f>+Sec!D36</f>
        <v>0</v>
      </c>
      <c r="F43" s="244">
        <f t="shared" si="0"/>
        <v>97970</v>
      </c>
      <c r="G43" s="2" t="s">
        <v>37</v>
      </c>
      <c r="H43" s="2"/>
    </row>
    <row r="44" spans="1:8" x14ac:dyDescent="0.25">
      <c r="A44" s="241">
        <v>71132</v>
      </c>
      <c r="B44" s="242" t="s">
        <v>87</v>
      </c>
      <c r="C44" s="241">
        <v>28</v>
      </c>
      <c r="D44" s="244">
        <f>+Magnets!C25</f>
        <v>72612</v>
      </c>
      <c r="E44" s="287">
        <f>+Magnets!D25</f>
        <v>-10000</v>
      </c>
      <c r="F44" s="244">
        <f t="shared" si="0"/>
        <v>62612</v>
      </c>
      <c r="G44" s="2" t="s">
        <v>32</v>
      </c>
      <c r="H44" s="2"/>
    </row>
    <row r="45" spans="1:8" x14ac:dyDescent="0.25">
      <c r="A45" s="241">
        <v>71105</v>
      </c>
      <c r="B45" s="250" t="s">
        <v>118</v>
      </c>
      <c r="C45" s="241">
        <v>11</v>
      </c>
      <c r="D45" s="244">
        <f>+Business!C16</f>
        <v>63918</v>
      </c>
      <c r="E45" s="287">
        <f>+Business!D16</f>
        <v>-10665</v>
      </c>
      <c r="F45" s="244">
        <f t="shared" si="0"/>
        <v>53253</v>
      </c>
      <c r="G45" s="2" t="s">
        <v>32</v>
      </c>
      <c r="H45" s="2"/>
    </row>
    <row r="46" spans="1:8" x14ac:dyDescent="0.25">
      <c r="A46" s="241">
        <v>71300</v>
      </c>
      <c r="B46" s="242" t="s">
        <v>393</v>
      </c>
      <c r="C46" s="241">
        <v>35</v>
      </c>
      <c r="D46" s="244">
        <f>+CTI!C39</f>
        <v>13122898</v>
      </c>
      <c r="E46" s="287">
        <f>+CTI!D39</f>
        <v>22870</v>
      </c>
      <c r="F46" s="244">
        <f t="shared" si="0"/>
        <v>13145768</v>
      </c>
      <c r="G46" s="2" t="s">
        <v>32</v>
      </c>
      <c r="H46" s="2"/>
    </row>
    <row r="47" spans="1:8" x14ac:dyDescent="0.25">
      <c r="A47" s="241">
        <v>72230</v>
      </c>
      <c r="B47" s="242" t="s">
        <v>394</v>
      </c>
      <c r="C47" s="241">
        <v>36</v>
      </c>
      <c r="D47" s="243">
        <f>+CTS!C35</f>
        <v>468927</v>
      </c>
      <c r="E47" s="285">
        <f>+CTS!D35</f>
        <v>1506</v>
      </c>
      <c r="F47" s="244">
        <f t="shared" si="0"/>
        <v>470433</v>
      </c>
      <c r="G47" s="2" t="s">
        <v>37</v>
      </c>
      <c r="H47" s="2"/>
    </row>
    <row r="48" spans="1:8" x14ac:dyDescent="0.25">
      <c r="A48" s="241">
        <v>72810</v>
      </c>
      <c r="B48" s="242" t="s">
        <v>26</v>
      </c>
      <c r="C48" s="241">
        <v>68</v>
      </c>
      <c r="D48" s="243">
        <f>+Central!C17</f>
        <v>35882</v>
      </c>
      <c r="E48" s="285">
        <f>+Central!D17</f>
        <v>224</v>
      </c>
      <c r="F48" s="244">
        <f t="shared" si="0"/>
        <v>36106</v>
      </c>
      <c r="G48" s="2" t="s">
        <v>26</v>
      </c>
      <c r="H48" s="2"/>
    </row>
    <row r="49" spans="1:8" x14ac:dyDescent="0.25">
      <c r="A49" s="241">
        <v>71113</v>
      </c>
      <c r="B49" s="250" t="s">
        <v>395</v>
      </c>
      <c r="C49" s="241">
        <v>17</v>
      </c>
      <c r="D49" s="244">
        <f>+Choral!C17</f>
        <v>38080</v>
      </c>
      <c r="E49" s="287">
        <f>+Choral!D17</f>
        <v>-4956</v>
      </c>
      <c r="F49" s="244">
        <f t="shared" si="0"/>
        <v>33124</v>
      </c>
      <c r="G49" s="2" t="s">
        <v>32</v>
      </c>
      <c r="H49" s="2"/>
    </row>
    <row r="50" spans="1:8" x14ac:dyDescent="0.25">
      <c r="A50" s="241">
        <v>72202</v>
      </c>
      <c r="B50" s="250" t="s">
        <v>396</v>
      </c>
      <c r="C50" s="241">
        <v>17</v>
      </c>
      <c r="D50" s="244">
        <f>+Choral!C31</f>
        <v>17831</v>
      </c>
      <c r="E50" s="287">
        <f>+Choral!D31</f>
        <v>0</v>
      </c>
      <c r="F50" s="244">
        <f t="shared" si="0"/>
        <v>17831</v>
      </c>
      <c r="G50" s="2" t="s">
        <v>37</v>
      </c>
      <c r="H50" s="2"/>
    </row>
    <row r="51" spans="1:8" x14ac:dyDescent="0.25">
      <c r="A51" s="241">
        <v>72132</v>
      </c>
      <c r="B51" s="242" t="s">
        <v>300</v>
      </c>
      <c r="C51" s="241">
        <v>54</v>
      </c>
      <c r="D51" s="243">
        <f>+Curriculum!C20</f>
        <v>17182</v>
      </c>
      <c r="E51" s="285">
        <f>+Curriculum!D20</f>
        <v>0</v>
      </c>
      <c r="F51" s="244">
        <f t="shared" si="0"/>
        <v>17182</v>
      </c>
      <c r="G51" s="2" t="s">
        <v>154</v>
      </c>
      <c r="H51" s="2"/>
    </row>
    <row r="52" spans="1:8" x14ac:dyDescent="0.25">
      <c r="A52" s="241">
        <v>71128</v>
      </c>
      <c r="B52" s="242" t="s">
        <v>397</v>
      </c>
      <c r="C52" s="241">
        <v>25</v>
      </c>
      <c r="D52" s="244">
        <f>+Driver!C17</f>
        <v>118333</v>
      </c>
      <c r="E52" s="287">
        <f>+Driver!D17</f>
        <v>0</v>
      </c>
      <c r="F52" s="244">
        <f t="shared" si="0"/>
        <v>118333</v>
      </c>
      <c r="G52" s="2" t="s">
        <v>32</v>
      </c>
      <c r="H52" s="2"/>
    </row>
    <row r="53" spans="1:8" x14ac:dyDescent="0.25">
      <c r="A53" s="241">
        <v>72211</v>
      </c>
      <c r="B53" s="242" t="s">
        <v>398</v>
      </c>
      <c r="C53" s="241">
        <v>25</v>
      </c>
      <c r="D53" s="244">
        <f>+Driver!C26</f>
        <v>2287</v>
      </c>
      <c r="E53" s="287">
        <f>+Driver!D26</f>
        <v>0</v>
      </c>
      <c r="F53" s="244">
        <f t="shared" si="0"/>
        <v>2287</v>
      </c>
      <c r="G53" s="2" t="s">
        <v>37</v>
      </c>
      <c r="H53" s="2"/>
    </row>
    <row r="54" spans="1:8" x14ac:dyDescent="0.25">
      <c r="A54" s="241">
        <v>71115</v>
      </c>
      <c r="B54" s="250" t="s">
        <v>286</v>
      </c>
      <c r="C54" s="241">
        <v>19</v>
      </c>
      <c r="D54" s="244">
        <f>+Reading!C23</f>
        <v>88912</v>
      </c>
      <c r="E54" s="287">
        <f>+Reading!D23</f>
        <v>0</v>
      </c>
      <c r="F54" s="244">
        <f t="shared" si="0"/>
        <v>88912</v>
      </c>
      <c r="G54" s="2" t="s">
        <v>32</v>
      </c>
      <c r="H54" s="2"/>
    </row>
    <row r="55" spans="1:8" x14ac:dyDescent="0.25">
      <c r="A55" s="241">
        <v>71107</v>
      </c>
      <c r="B55" s="242" t="s">
        <v>486</v>
      </c>
      <c r="C55" s="241">
        <v>38</v>
      </c>
      <c r="D55" s="244">
        <f>+Literacy!C16</f>
        <v>331304</v>
      </c>
      <c r="E55" s="287">
        <f>+Literacy!D16</f>
        <v>0</v>
      </c>
      <c r="F55" s="244">
        <f t="shared" si="0"/>
        <v>331304</v>
      </c>
      <c r="G55" s="2" t="s">
        <v>32</v>
      </c>
      <c r="H55" s="2"/>
    </row>
    <row r="56" spans="1:8" x14ac:dyDescent="0.25">
      <c r="A56" s="265">
        <v>72254</v>
      </c>
      <c r="B56" s="242" t="s">
        <v>359</v>
      </c>
      <c r="C56" s="241">
        <v>48</v>
      </c>
      <c r="D56" s="244">
        <f>+FamilyCom!C27</f>
        <v>181997</v>
      </c>
      <c r="E56" s="287">
        <f>+FamilyCom!D27</f>
        <v>4467</v>
      </c>
      <c r="F56" s="244">
        <f t="shared" si="0"/>
        <v>186464</v>
      </c>
      <c r="G56" s="2" t="s">
        <v>37</v>
      </c>
      <c r="H56" s="2"/>
    </row>
    <row r="57" spans="1:8" x14ac:dyDescent="0.25">
      <c r="A57" s="265">
        <v>71142</v>
      </c>
      <c r="B57" s="242" t="s">
        <v>476</v>
      </c>
      <c r="C57" s="241">
        <v>28</v>
      </c>
      <c r="D57" s="244">
        <f>+Magnets!C70</f>
        <v>65000</v>
      </c>
      <c r="E57" s="287">
        <f>+Magnets!D70</f>
        <v>-10000</v>
      </c>
      <c r="F57" s="244">
        <f>SUM(D57:E57)</f>
        <v>55000</v>
      </c>
      <c r="G57" s="2" t="s">
        <v>32</v>
      </c>
      <c r="H57" s="2"/>
    </row>
    <row r="58" spans="1:8" x14ac:dyDescent="0.25">
      <c r="A58" s="241">
        <v>71121</v>
      </c>
      <c r="B58" s="250" t="s">
        <v>172</v>
      </c>
      <c r="C58" s="241">
        <v>39</v>
      </c>
      <c r="D58" s="243">
        <f>+General!C20</f>
        <v>300000</v>
      </c>
      <c r="E58" s="285">
        <f>+General!D20</f>
        <v>-200000</v>
      </c>
      <c r="F58" s="244">
        <f t="shared" si="0"/>
        <v>100000</v>
      </c>
      <c r="G58" s="2" t="s">
        <v>37</v>
      </c>
      <c r="H58" s="2"/>
    </row>
    <row r="59" spans="1:8" x14ac:dyDescent="0.25">
      <c r="A59" s="241">
        <v>71133</v>
      </c>
      <c r="B59" s="242" t="s">
        <v>91</v>
      </c>
      <c r="C59" s="241">
        <v>28</v>
      </c>
      <c r="D59" s="244">
        <f>+Magnets!C32</f>
        <v>76970</v>
      </c>
      <c r="E59" s="287">
        <f>+Magnets!D32</f>
        <v>-10000</v>
      </c>
      <c r="F59" s="244">
        <f t="shared" si="0"/>
        <v>66970</v>
      </c>
      <c r="G59" s="2" t="s">
        <v>32</v>
      </c>
      <c r="H59" s="2"/>
    </row>
    <row r="60" spans="1:8" x14ac:dyDescent="0.25">
      <c r="A60" s="265">
        <v>72255</v>
      </c>
      <c r="B60" s="242" t="s">
        <v>360</v>
      </c>
      <c r="C60" s="241">
        <v>49</v>
      </c>
      <c r="D60" s="244">
        <f>+Grants!C19</f>
        <v>5000</v>
      </c>
      <c r="E60" s="287">
        <f>+Grants!D19</f>
        <v>0</v>
      </c>
      <c r="F60" s="244">
        <f t="shared" si="0"/>
        <v>5000</v>
      </c>
      <c r="G60" s="2" t="s">
        <v>37</v>
      </c>
      <c r="H60" s="2"/>
    </row>
    <row r="61" spans="1:8" x14ac:dyDescent="0.25">
      <c r="A61" s="241">
        <v>72134</v>
      </c>
      <c r="B61" s="242" t="s">
        <v>192</v>
      </c>
      <c r="C61" s="241">
        <v>56</v>
      </c>
      <c r="D61" s="243">
        <f>+Guidance!C16</f>
        <v>28161</v>
      </c>
      <c r="E61" s="285">
        <f>+Guidance!D16</f>
        <v>0</v>
      </c>
      <c r="F61" s="244">
        <f t="shared" si="0"/>
        <v>28161</v>
      </c>
      <c r="G61" s="2" t="s">
        <v>154</v>
      </c>
      <c r="H61" s="2"/>
    </row>
    <row r="62" spans="1:8" x14ac:dyDescent="0.25">
      <c r="A62" s="241">
        <v>71109</v>
      </c>
      <c r="B62" s="250" t="s">
        <v>98</v>
      </c>
      <c r="C62" s="241">
        <v>13</v>
      </c>
      <c r="D62" s="244">
        <f>+Health!C13</f>
        <v>4324</v>
      </c>
      <c r="E62" s="287">
        <f>+Health!D13</f>
        <v>0</v>
      </c>
      <c r="F62" s="244">
        <f t="shared" si="0"/>
        <v>4324</v>
      </c>
      <c r="G62" s="2" t="s">
        <v>32</v>
      </c>
      <c r="H62" s="2"/>
    </row>
    <row r="63" spans="1:8" x14ac:dyDescent="0.25">
      <c r="A63" s="241">
        <v>72120</v>
      </c>
      <c r="B63" s="242" t="s">
        <v>150</v>
      </c>
      <c r="C63" s="241">
        <v>51</v>
      </c>
      <c r="D63" s="243">
        <f>+HlthSvs!C39</f>
        <v>1917598</v>
      </c>
      <c r="E63" s="285">
        <f>+HlthSvs!D39</f>
        <v>6079</v>
      </c>
      <c r="F63" s="244">
        <f t="shared" si="0"/>
        <v>1923677</v>
      </c>
      <c r="G63" s="2" t="s">
        <v>154</v>
      </c>
      <c r="H63" s="2"/>
    </row>
    <row r="64" spans="1:8" x14ac:dyDescent="0.25">
      <c r="A64" s="241">
        <v>71124</v>
      </c>
      <c r="B64" s="250" t="s">
        <v>297</v>
      </c>
      <c r="C64" s="241">
        <v>31</v>
      </c>
      <c r="D64" s="243">
        <f>+'High Needs'!C22</f>
        <v>4875</v>
      </c>
      <c r="E64" s="285">
        <f>+'High Needs'!D22</f>
        <v>0</v>
      </c>
      <c r="F64" s="244">
        <f t="shared" si="0"/>
        <v>4875</v>
      </c>
      <c r="G64" s="2" t="s">
        <v>32</v>
      </c>
      <c r="H64" s="2"/>
    </row>
    <row r="65" spans="1:8" x14ac:dyDescent="0.25">
      <c r="A65" s="241">
        <v>72209</v>
      </c>
      <c r="B65" s="250" t="s">
        <v>251</v>
      </c>
      <c r="C65" s="241">
        <v>41</v>
      </c>
      <c r="D65" s="243">
        <f>+Wellness!C19</f>
        <v>18073</v>
      </c>
      <c r="E65" s="285">
        <f>+Wellness!D19</f>
        <v>0</v>
      </c>
      <c r="F65" s="244">
        <f t="shared" si="0"/>
        <v>18073</v>
      </c>
      <c r="G65" s="2" t="s">
        <v>37</v>
      </c>
      <c r="H65" s="2"/>
    </row>
    <row r="66" spans="1:8" x14ac:dyDescent="0.25">
      <c r="A66" s="241">
        <v>72261</v>
      </c>
      <c r="B66" s="250" t="s">
        <v>463</v>
      </c>
      <c r="C66" s="241">
        <v>6</v>
      </c>
      <c r="D66" s="243">
        <f>+Humanities!C17</f>
        <v>6000</v>
      </c>
      <c r="E66" s="243">
        <f>+Humanities!D17</f>
        <v>0</v>
      </c>
      <c r="F66" s="244">
        <f t="shared" si="0"/>
        <v>6000</v>
      </c>
      <c r="G66" s="2" t="s">
        <v>37</v>
      </c>
      <c r="H66" s="2"/>
    </row>
    <row r="67" spans="1:8" x14ac:dyDescent="0.25">
      <c r="A67" s="241">
        <v>72214</v>
      </c>
      <c r="B67" s="250" t="s">
        <v>263</v>
      </c>
      <c r="C67" s="241">
        <v>42</v>
      </c>
      <c r="D67" s="243">
        <f>+Instruction!C20</f>
        <v>29280</v>
      </c>
      <c r="E67" s="285">
        <f>+Instruction!D20</f>
        <v>0</v>
      </c>
      <c r="F67" s="244">
        <f t="shared" si="0"/>
        <v>29280</v>
      </c>
      <c r="G67" s="2" t="s">
        <v>37</v>
      </c>
      <c r="H67" s="2"/>
    </row>
    <row r="68" spans="1:8" x14ac:dyDescent="0.25">
      <c r="A68" s="241">
        <v>72217</v>
      </c>
      <c r="B68" s="250" t="s">
        <v>143</v>
      </c>
      <c r="C68" s="241">
        <v>44</v>
      </c>
      <c r="D68" s="243">
        <f>+Devel!C23</f>
        <v>538489</v>
      </c>
      <c r="E68" s="285">
        <f>+Devel!D23</f>
        <v>0</v>
      </c>
      <c r="F68" s="244">
        <f t="shared" si="0"/>
        <v>538489</v>
      </c>
      <c r="G68" s="2" t="s">
        <v>37</v>
      </c>
      <c r="H68" s="2"/>
    </row>
    <row r="69" spans="1:8" x14ac:dyDescent="0.25">
      <c r="A69" s="241">
        <v>71119</v>
      </c>
      <c r="B69" s="250" t="s">
        <v>399</v>
      </c>
      <c r="C69" s="241">
        <v>23</v>
      </c>
      <c r="D69" s="244">
        <f>+InstMusic!C15</f>
        <v>32700</v>
      </c>
      <c r="E69" s="287">
        <f>+InstMusic!D15</f>
        <v>0</v>
      </c>
      <c r="F69" s="244">
        <f t="shared" si="0"/>
        <v>32700</v>
      </c>
      <c r="G69" s="2" t="s">
        <v>32</v>
      </c>
      <c r="H69" s="2"/>
    </row>
    <row r="70" spans="1:8" x14ac:dyDescent="0.25">
      <c r="A70" s="241">
        <v>72207</v>
      </c>
      <c r="B70" s="250" t="s">
        <v>400</v>
      </c>
      <c r="C70" s="241">
        <v>23</v>
      </c>
      <c r="D70" s="244">
        <f>+InstMusic!C29</f>
        <v>10368</v>
      </c>
      <c r="E70" s="287">
        <f>+InstMusic!D29</f>
        <v>0</v>
      </c>
      <c r="F70" s="244">
        <f t="shared" si="0"/>
        <v>10368</v>
      </c>
      <c r="G70" s="2" t="s">
        <v>37</v>
      </c>
      <c r="H70" s="2"/>
    </row>
    <row r="71" spans="1:8" x14ac:dyDescent="0.25">
      <c r="A71" s="241">
        <v>71110</v>
      </c>
      <c r="B71" s="250" t="s">
        <v>164</v>
      </c>
      <c r="C71" s="241">
        <v>14</v>
      </c>
      <c r="D71" s="244">
        <f>+Kinder!C13</f>
        <v>62266</v>
      </c>
      <c r="E71" s="287">
        <f>+Kinder!D13</f>
        <v>3500</v>
      </c>
      <c r="F71" s="244">
        <f t="shared" si="0"/>
        <v>65766</v>
      </c>
      <c r="G71" s="2" t="s">
        <v>32</v>
      </c>
      <c r="H71" s="2"/>
    </row>
    <row r="72" spans="1:8" x14ac:dyDescent="0.25">
      <c r="A72" s="241">
        <v>71111</v>
      </c>
      <c r="B72" s="250" t="s">
        <v>401</v>
      </c>
      <c r="C72" s="241">
        <v>15</v>
      </c>
      <c r="D72" s="244">
        <f>+LArts!C15</f>
        <v>36148</v>
      </c>
      <c r="E72" s="287">
        <f>+LArts!D15</f>
        <v>0</v>
      </c>
      <c r="F72" s="244">
        <f t="shared" si="0"/>
        <v>36148</v>
      </c>
      <c r="G72" s="2" t="s">
        <v>32</v>
      </c>
      <c r="H72" s="2"/>
    </row>
    <row r="73" spans="1:8" x14ac:dyDescent="0.25">
      <c r="A73" s="241">
        <v>72224</v>
      </c>
      <c r="B73" s="250" t="s">
        <v>402</v>
      </c>
      <c r="C73" s="241">
        <v>15</v>
      </c>
      <c r="D73" s="244">
        <f>+LArts!C29</f>
        <v>10191</v>
      </c>
      <c r="E73" s="287">
        <f>+LArts!D29</f>
        <v>0</v>
      </c>
      <c r="F73" s="244">
        <f t="shared" si="0"/>
        <v>10191</v>
      </c>
      <c r="G73" s="2" t="s">
        <v>37</v>
      </c>
      <c r="H73" s="2"/>
    </row>
    <row r="74" spans="1:8" x14ac:dyDescent="0.25">
      <c r="A74" s="241">
        <v>72216</v>
      </c>
      <c r="B74" s="250" t="s">
        <v>50</v>
      </c>
      <c r="C74" s="241">
        <v>43</v>
      </c>
      <c r="D74" s="243">
        <f>+Libraries!C18</f>
        <v>462569</v>
      </c>
      <c r="E74" s="285">
        <f>+Libraries!D18</f>
        <v>0</v>
      </c>
      <c r="F74" s="244">
        <f t="shared" si="0"/>
        <v>462569</v>
      </c>
      <c r="G74" s="2" t="s">
        <v>37</v>
      </c>
      <c r="H74" s="2"/>
    </row>
    <row r="75" spans="1:8" x14ac:dyDescent="0.25">
      <c r="A75" s="241">
        <v>71139</v>
      </c>
      <c r="B75" s="250" t="s">
        <v>452</v>
      </c>
      <c r="C75" s="241">
        <v>28</v>
      </c>
      <c r="D75" s="244">
        <f>+Magnets!C49</f>
        <v>13875</v>
      </c>
      <c r="E75" s="244">
        <f>+Magnets!D49</f>
        <v>0</v>
      </c>
      <c r="F75" s="244">
        <f t="shared" si="0"/>
        <v>13875</v>
      </c>
      <c r="G75" s="2" t="s">
        <v>32</v>
      </c>
      <c r="H75" s="2"/>
    </row>
    <row r="76" spans="1:8" x14ac:dyDescent="0.25">
      <c r="A76" s="241">
        <v>71126</v>
      </c>
      <c r="B76" s="242" t="s">
        <v>180</v>
      </c>
      <c r="C76" s="241">
        <v>24</v>
      </c>
      <c r="D76" s="244">
        <f>+Materials!C13</f>
        <v>108560</v>
      </c>
      <c r="E76" s="287">
        <f>+Materials!D13</f>
        <v>-19471</v>
      </c>
      <c r="F76" s="244">
        <f t="shared" si="0"/>
        <v>89089</v>
      </c>
      <c r="G76" s="2" t="s">
        <v>32</v>
      </c>
      <c r="H76" s="2"/>
    </row>
    <row r="77" spans="1:8" x14ac:dyDescent="0.25">
      <c r="A77" s="241">
        <v>71112</v>
      </c>
      <c r="B77" s="250" t="s">
        <v>403</v>
      </c>
      <c r="C77" s="241">
        <v>16</v>
      </c>
      <c r="D77" s="244">
        <f>+Math!C13</f>
        <v>79468</v>
      </c>
      <c r="E77" s="287">
        <f>+Math!D13</f>
        <v>0</v>
      </c>
      <c r="F77" s="244">
        <f t="shared" si="0"/>
        <v>79468</v>
      </c>
      <c r="G77" s="2" t="s">
        <v>32</v>
      </c>
      <c r="H77" s="2"/>
    </row>
    <row r="78" spans="1:8" x14ac:dyDescent="0.25">
      <c r="A78" s="241">
        <v>72201</v>
      </c>
      <c r="B78" s="250" t="s">
        <v>404</v>
      </c>
      <c r="C78" s="241">
        <v>16</v>
      </c>
      <c r="D78" s="243">
        <f>+Math!C22</f>
        <v>6898</v>
      </c>
      <c r="E78" s="285">
        <f>+Math!D22</f>
        <v>0</v>
      </c>
      <c r="F78" s="244">
        <f t="shared" si="0"/>
        <v>6898</v>
      </c>
      <c r="G78" s="2" t="s">
        <v>37</v>
      </c>
      <c r="H78" s="2"/>
    </row>
    <row r="79" spans="1:8" x14ac:dyDescent="0.25">
      <c r="A79" s="241">
        <v>71106</v>
      </c>
      <c r="B79" s="250" t="s">
        <v>285</v>
      </c>
      <c r="C79" s="241">
        <v>19</v>
      </c>
      <c r="D79" s="244">
        <f>+Reading!C50</f>
        <v>42151</v>
      </c>
      <c r="E79" s="287">
        <f>+Reading!D50</f>
        <v>0</v>
      </c>
      <c r="F79" s="244">
        <f t="shared" si="0"/>
        <v>42151</v>
      </c>
      <c r="G79" s="2" t="s">
        <v>32</v>
      </c>
      <c r="H79" s="2"/>
    </row>
    <row r="80" spans="1:8" x14ac:dyDescent="0.25">
      <c r="A80" s="241">
        <v>72825</v>
      </c>
      <c r="B80" s="250" t="s">
        <v>311</v>
      </c>
      <c r="C80" s="241">
        <v>74</v>
      </c>
      <c r="D80" s="243">
        <f>+Accountability!C37</f>
        <v>661125</v>
      </c>
      <c r="E80" s="285">
        <f>+Accountability!D37</f>
        <v>1555</v>
      </c>
      <c r="F80" s="244">
        <f t="shared" si="0"/>
        <v>662680</v>
      </c>
      <c r="G80" s="2" t="s">
        <v>26</v>
      </c>
      <c r="H80" s="2"/>
    </row>
    <row r="81" spans="1:8" x14ac:dyDescent="0.25">
      <c r="A81" s="241" t="s">
        <v>528</v>
      </c>
      <c r="B81" s="250" t="s">
        <v>526</v>
      </c>
      <c r="C81" s="241">
        <v>70</v>
      </c>
      <c r="D81" s="243">
        <v>0</v>
      </c>
      <c r="E81" s="285">
        <f>+Innovation!D22</f>
        <v>25000</v>
      </c>
      <c r="F81" s="244">
        <f>SUM(D81:E81)</f>
        <v>25000</v>
      </c>
      <c r="G81" s="2" t="s">
        <v>26</v>
      </c>
      <c r="H81" s="2"/>
    </row>
    <row r="82" spans="1:8" x14ac:dyDescent="0.25">
      <c r="A82" s="241">
        <v>72410</v>
      </c>
      <c r="B82" s="242" t="s">
        <v>231</v>
      </c>
      <c r="C82" s="241">
        <v>57</v>
      </c>
      <c r="D82" s="243">
        <f>+Prin!C32</f>
        <v>31253488</v>
      </c>
      <c r="E82" s="285">
        <f>+Prin!D32</f>
        <v>783067</v>
      </c>
      <c r="F82" s="244">
        <f t="shared" si="0"/>
        <v>32036555</v>
      </c>
      <c r="G82" s="2" t="s">
        <v>220</v>
      </c>
      <c r="H82" s="2"/>
    </row>
    <row r="83" spans="1:8" x14ac:dyDescent="0.25">
      <c r="A83" s="241">
        <v>72130</v>
      </c>
      <c r="B83" s="250" t="s">
        <v>405</v>
      </c>
      <c r="C83" s="241">
        <v>52</v>
      </c>
      <c r="D83" s="243">
        <f>+OStuSup!C29</f>
        <v>9494976</v>
      </c>
      <c r="E83" s="285">
        <f>+OStuSup!D29</f>
        <v>-73046</v>
      </c>
      <c r="F83" s="244">
        <f t="shared" si="0"/>
        <v>9421930</v>
      </c>
      <c r="G83" s="2" t="s">
        <v>154</v>
      </c>
      <c r="H83" s="2"/>
    </row>
    <row r="84" spans="1:8" x14ac:dyDescent="0.25">
      <c r="A84" s="241">
        <v>79000</v>
      </c>
      <c r="B84" s="242" t="s">
        <v>406</v>
      </c>
      <c r="C84" s="241">
        <v>76</v>
      </c>
      <c r="D84" s="243">
        <f>+Other!C11</f>
        <v>32712</v>
      </c>
      <c r="E84" s="285">
        <f>+Other!D11</f>
        <v>0</v>
      </c>
      <c r="F84" s="244">
        <f t="shared" si="0"/>
        <v>32712</v>
      </c>
      <c r="G84" s="2" t="s">
        <v>215</v>
      </c>
      <c r="H84" s="2"/>
    </row>
    <row r="85" spans="1:8" x14ac:dyDescent="0.25">
      <c r="A85" s="241">
        <v>79000</v>
      </c>
      <c r="B85" s="242" t="s">
        <v>407</v>
      </c>
      <c r="C85" s="241">
        <v>76</v>
      </c>
      <c r="D85" s="243">
        <f>+Other!C14</f>
        <v>15000</v>
      </c>
      <c r="E85" s="285">
        <f>+Other!D14</f>
        <v>0</v>
      </c>
      <c r="F85" s="244">
        <f t="shared" si="0"/>
        <v>15000</v>
      </c>
      <c r="G85" s="2" t="s">
        <v>215</v>
      </c>
      <c r="H85" s="2"/>
    </row>
    <row r="86" spans="1:8" x14ac:dyDescent="0.25">
      <c r="A86" s="241">
        <v>79000</v>
      </c>
      <c r="B86" s="242" t="s">
        <v>408</v>
      </c>
      <c r="C86" s="241">
        <v>76</v>
      </c>
      <c r="D86" s="243">
        <f>+Other!C12</f>
        <v>22355</v>
      </c>
      <c r="E86" s="285">
        <f>+Other!D12</f>
        <v>0</v>
      </c>
      <c r="F86" s="244">
        <f t="shared" si="0"/>
        <v>22355</v>
      </c>
      <c r="G86" s="2" t="s">
        <v>215</v>
      </c>
      <c r="H86" s="2"/>
    </row>
    <row r="87" spans="1:8" x14ac:dyDescent="0.25">
      <c r="A87" s="241">
        <v>79000</v>
      </c>
      <c r="B87" s="242" t="s">
        <v>409</v>
      </c>
      <c r="C87" s="241">
        <v>76</v>
      </c>
      <c r="D87" s="243">
        <f>+Other!C15</f>
        <v>30000</v>
      </c>
      <c r="E87" s="285">
        <f>+Other!D15</f>
        <v>0</v>
      </c>
      <c r="F87" s="244">
        <f t="shared" si="0"/>
        <v>30000</v>
      </c>
      <c r="G87" s="2" t="s">
        <v>215</v>
      </c>
      <c r="H87" s="2"/>
    </row>
    <row r="88" spans="1:8" x14ac:dyDescent="0.25">
      <c r="A88" s="241">
        <v>79000</v>
      </c>
      <c r="B88" s="242" t="s">
        <v>410</v>
      </c>
      <c r="C88" s="241">
        <v>76</v>
      </c>
      <c r="D88" s="243">
        <f>+Other!C10</f>
        <v>85500</v>
      </c>
      <c r="E88" s="285">
        <f>+Other!D10</f>
        <v>0</v>
      </c>
      <c r="F88" s="244">
        <f t="shared" si="0"/>
        <v>85500</v>
      </c>
      <c r="G88" s="2" t="s">
        <v>215</v>
      </c>
      <c r="H88" s="2"/>
    </row>
    <row r="89" spans="1:8" x14ac:dyDescent="0.25">
      <c r="A89" s="241">
        <v>79000</v>
      </c>
      <c r="B89" s="242" t="s">
        <v>411</v>
      </c>
      <c r="C89" s="241">
        <v>76</v>
      </c>
      <c r="D89" s="243">
        <f>+Other!C13</f>
        <v>25000</v>
      </c>
      <c r="E89" s="285">
        <f>+Other!D13</f>
        <v>0</v>
      </c>
      <c r="F89" s="244">
        <f t="shared" si="0"/>
        <v>25000</v>
      </c>
      <c r="G89" s="2" t="s">
        <v>215</v>
      </c>
      <c r="H89" s="2"/>
    </row>
    <row r="90" spans="1:8" x14ac:dyDescent="0.25">
      <c r="A90" s="241">
        <v>79000</v>
      </c>
      <c r="B90" s="242" t="s">
        <v>479</v>
      </c>
      <c r="C90" s="241">
        <v>76</v>
      </c>
      <c r="D90" s="243">
        <f>+Other!C16</f>
        <v>2570000</v>
      </c>
      <c r="E90" s="285">
        <f>+Other!D16</f>
        <v>0</v>
      </c>
      <c r="F90" s="244">
        <f>SUM(D90:E90)</f>
        <v>2570000</v>
      </c>
      <c r="G90" s="2" t="s">
        <v>215</v>
      </c>
      <c r="H90" s="2"/>
    </row>
    <row r="91" spans="1:8" x14ac:dyDescent="0.25">
      <c r="A91" s="241">
        <v>79000</v>
      </c>
      <c r="B91" s="242" t="s">
        <v>529</v>
      </c>
      <c r="C91" s="241">
        <v>76</v>
      </c>
      <c r="D91" s="243">
        <v>0</v>
      </c>
      <c r="E91" s="285">
        <f>+Other!D17</f>
        <v>686000</v>
      </c>
      <c r="F91" s="244">
        <f>SUM(D91:E91)</f>
        <v>686000</v>
      </c>
      <c r="G91" s="2" t="s">
        <v>215</v>
      </c>
      <c r="H91" s="2"/>
    </row>
    <row r="92" spans="1:8" x14ac:dyDescent="0.25">
      <c r="A92" s="241">
        <v>79000</v>
      </c>
      <c r="B92" s="242" t="s">
        <v>480</v>
      </c>
      <c r="C92" s="241">
        <v>76</v>
      </c>
      <c r="D92" s="243">
        <f>+Other!C18</f>
        <v>100000</v>
      </c>
      <c r="E92" s="285">
        <f>+Other!D18</f>
        <v>400000</v>
      </c>
      <c r="F92" s="244">
        <f>SUM(D92:E92)</f>
        <v>500000</v>
      </c>
      <c r="G92" s="2" t="s">
        <v>215</v>
      </c>
      <c r="H92" s="2"/>
    </row>
    <row r="93" spans="1:8" x14ac:dyDescent="0.25">
      <c r="A93" s="241">
        <v>71114</v>
      </c>
      <c r="B93" s="250" t="s">
        <v>412</v>
      </c>
      <c r="C93" s="241">
        <v>18</v>
      </c>
      <c r="D93" s="244">
        <f>+PE!C11</f>
        <v>23858</v>
      </c>
      <c r="E93" s="287">
        <f>+PE!D11</f>
        <v>0</v>
      </c>
      <c r="F93" s="244">
        <f t="shared" si="0"/>
        <v>23858</v>
      </c>
      <c r="G93" s="2" t="s">
        <v>32</v>
      </c>
      <c r="H93" s="2"/>
    </row>
    <row r="94" spans="1:8" x14ac:dyDescent="0.25">
      <c r="A94" s="241">
        <v>72203</v>
      </c>
      <c r="B94" s="250" t="s">
        <v>413</v>
      </c>
      <c r="C94" s="241">
        <v>18</v>
      </c>
      <c r="D94" s="244">
        <f>+PE!C21</f>
        <v>11650</v>
      </c>
      <c r="E94" s="287">
        <f>+PE!D21</f>
        <v>0</v>
      </c>
      <c r="F94" s="244">
        <f t="shared" si="0"/>
        <v>11650</v>
      </c>
      <c r="G94" s="2" t="s">
        <v>37</v>
      </c>
      <c r="H94" s="2"/>
    </row>
    <row r="95" spans="1:8" x14ac:dyDescent="0.25">
      <c r="A95" s="241">
        <v>71123</v>
      </c>
      <c r="B95" s="242" t="s">
        <v>414</v>
      </c>
      <c r="C95" s="241">
        <v>30</v>
      </c>
      <c r="D95" s="244">
        <f>+Grad!C13</f>
        <v>1241742</v>
      </c>
      <c r="E95" s="287">
        <f>+Grad!D13</f>
        <v>-100000</v>
      </c>
      <c r="F95" s="244">
        <f t="shared" si="0"/>
        <v>1141742</v>
      </c>
      <c r="G95" s="2" t="s">
        <v>32</v>
      </c>
      <c r="H95" s="2"/>
    </row>
    <row r="96" spans="1:8" x14ac:dyDescent="0.25">
      <c r="A96" s="241">
        <v>72131</v>
      </c>
      <c r="B96" s="242" t="s">
        <v>203</v>
      </c>
      <c r="C96" s="241">
        <v>53</v>
      </c>
      <c r="D96" s="243">
        <f>+Pupil!C14</f>
        <v>21956</v>
      </c>
      <c r="E96" s="285">
        <f>+Pupil!D14</f>
        <v>0</v>
      </c>
      <c r="F96" s="244">
        <f t="shared" si="0"/>
        <v>21956</v>
      </c>
      <c r="G96" s="2" t="s">
        <v>154</v>
      </c>
      <c r="H96" s="2"/>
    </row>
    <row r="97" spans="1:8" x14ac:dyDescent="0.25">
      <c r="A97" s="241">
        <v>71100</v>
      </c>
      <c r="B97" s="250" t="s">
        <v>36</v>
      </c>
      <c r="C97" s="241">
        <v>4</v>
      </c>
      <c r="D97" s="244">
        <f>+Regular!C31</f>
        <v>205039739</v>
      </c>
      <c r="E97" s="287">
        <f>+Regular!D31</f>
        <v>2875303</v>
      </c>
      <c r="F97" s="244">
        <f t="shared" si="0"/>
        <v>207915042</v>
      </c>
      <c r="G97" s="2" t="s">
        <v>32</v>
      </c>
      <c r="H97" s="2"/>
    </row>
    <row r="98" spans="1:8" x14ac:dyDescent="0.25">
      <c r="A98" s="241">
        <v>72210</v>
      </c>
      <c r="B98" s="242" t="s">
        <v>243</v>
      </c>
      <c r="C98" s="241">
        <v>5</v>
      </c>
      <c r="D98" s="243">
        <f>+Support!C37</f>
        <v>12906086</v>
      </c>
      <c r="E98" s="285">
        <f>+Support!D37</f>
        <v>78955</v>
      </c>
      <c r="F98" s="244">
        <f t="shared" si="0"/>
        <v>12985041</v>
      </c>
      <c r="G98" s="2" t="s">
        <v>37</v>
      </c>
      <c r="H98" s="2"/>
    </row>
    <row r="99" spans="1:8" x14ac:dyDescent="0.25">
      <c r="A99" s="241">
        <v>71131</v>
      </c>
      <c r="B99" s="242" t="s">
        <v>90</v>
      </c>
      <c r="C99" s="241">
        <v>28</v>
      </c>
      <c r="D99" s="244">
        <f>+Magnets!C18</f>
        <v>84086</v>
      </c>
      <c r="E99" s="287">
        <f>+Magnets!D18</f>
        <v>-10000</v>
      </c>
      <c r="F99" s="244">
        <f t="shared" si="0"/>
        <v>74086</v>
      </c>
      <c r="G99" s="2" t="s">
        <v>32</v>
      </c>
      <c r="H99" s="2"/>
    </row>
    <row r="100" spans="1:8" x14ac:dyDescent="0.25">
      <c r="A100" s="241">
        <v>71116</v>
      </c>
      <c r="B100" s="250" t="s">
        <v>415</v>
      </c>
      <c r="C100" s="241">
        <v>20</v>
      </c>
      <c r="D100" s="244">
        <f>+Science!C18</f>
        <v>108932</v>
      </c>
      <c r="E100" s="287">
        <f>+Science!D18</f>
        <v>-12880</v>
      </c>
      <c r="F100" s="244">
        <f t="shared" ref="F100:F121" si="1">SUM(D100:E100)</f>
        <v>96052</v>
      </c>
      <c r="G100" s="2" t="s">
        <v>32</v>
      </c>
      <c r="H100" s="2"/>
    </row>
    <row r="101" spans="1:8" x14ac:dyDescent="0.25">
      <c r="A101" s="241">
        <v>72204</v>
      </c>
      <c r="B101" s="250" t="s">
        <v>416</v>
      </c>
      <c r="C101" s="241">
        <v>20</v>
      </c>
      <c r="D101" s="244">
        <f>+Science!C36</f>
        <v>13151</v>
      </c>
      <c r="E101" s="287">
        <f>+Science!D36</f>
        <v>0</v>
      </c>
      <c r="F101" s="244">
        <f t="shared" si="1"/>
        <v>13151</v>
      </c>
      <c r="G101" s="2" t="s">
        <v>37</v>
      </c>
      <c r="H101" s="2"/>
    </row>
    <row r="102" spans="1:8" x14ac:dyDescent="0.25">
      <c r="A102" s="241">
        <v>71136</v>
      </c>
      <c r="B102" s="242" t="s">
        <v>417</v>
      </c>
      <c r="C102" s="241">
        <v>27</v>
      </c>
      <c r="D102" s="244">
        <f>+'504'!C18</f>
        <v>14299</v>
      </c>
      <c r="E102" s="287">
        <f>+'504'!D18</f>
        <v>0</v>
      </c>
      <c r="F102" s="244">
        <f t="shared" si="1"/>
        <v>14299</v>
      </c>
      <c r="G102" s="2" t="s">
        <v>32</v>
      </c>
      <c r="H102" s="2"/>
    </row>
    <row r="103" spans="1:8" x14ac:dyDescent="0.25">
      <c r="A103" s="241">
        <v>72213</v>
      </c>
      <c r="B103" s="242" t="s">
        <v>418</v>
      </c>
      <c r="C103" s="241">
        <v>27</v>
      </c>
      <c r="D103" s="244">
        <f>+'504'!C32</f>
        <v>4523</v>
      </c>
      <c r="E103" s="287">
        <f>+'504'!D32</f>
        <v>0</v>
      </c>
      <c r="F103" s="244">
        <f t="shared" si="1"/>
        <v>4523</v>
      </c>
      <c r="G103" s="2" t="s">
        <v>37</v>
      </c>
      <c r="H103" s="2"/>
    </row>
    <row r="104" spans="1:8" x14ac:dyDescent="0.25">
      <c r="A104" s="241">
        <v>71117</v>
      </c>
      <c r="B104" s="242" t="s">
        <v>419</v>
      </c>
      <c r="C104" s="241">
        <v>21</v>
      </c>
      <c r="D104" s="244">
        <f>+SocStudies!C16</f>
        <v>43031</v>
      </c>
      <c r="E104" s="287">
        <f>+SocStudies!D16</f>
        <v>0</v>
      </c>
      <c r="F104" s="244">
        <f t="shared" si="1"/>
        <v>43031</v>
      </c>
      <c r="G104" s="2" t="s">
        <v>32</v>
      </c>
      <c r="H104" s="2"/>
    </row>
    <row r="105" spans="1:8" x14ac:dyDescent="0.25">
      <c r="A105" s="241">
        <v>72205</v>
      </c>
      <c r="B105" s="242" t="s">
        <v>420</v>
      </c>
      <c r="C105" s="241">
        <v>21</v>
      </c>
      <c r="D105" s="244">
        <f>+SocStudies!C28</f>
        <v>3529</v>
      </c>
      <c r="E105" s="287">
        <f>+SocStudies!D28</f>
        <v>0</v>
      </c>
      <c r="F105" s="244">
        <f t="shared" si="1"/>
        <v>3529</v>
      </c>
      <c r="G105" s="2" t="s">
        <v>37</v>
      </c>
      <c r="H105" s="2"/>
    </row>
    <row r="106" spans="1:8" x14ac:dyDescent="0.25">
      <c r="A106" s="241">
        <v>71200</v>
      </c>
      <c r="B106" s="242" t="s">
        <v>234</v>
      </c>
      <c r="C106" s="241">
        <v>33</v>
      </c>
      <c r="D106" s="244">
        <f>+SpEdInst!C40</f>
        <v>36978037</v>
      </c>
      <c r="E106" s="287">
        <f>+SpEdInst!D40</f>
        <v>-114434</v>
      </c>
      <c r="F106" s="244">
        <f t="shared" si="1"/>
        <v>36863603</v>
      </c>
      <c r="G106" s="2" t="s">
        <v>32</v>
      </c>
      <c r="H106" s="2"/>
    </row>
    <row r="107" spans="1:8" x14ac:dyDescent="0.25">
      <c r="A107" s="241">
        <v>72220</v>
      </c>
      <c r="B107" s="242" t="s">
        <v>235</v>
      </c>
      <c r="C107" s="241">
        <v>34</v>
      </c>
      <c r="D107" s="243">
        <f>+SpEdSup!C53</f>
        <v>7612618</v>
      </c>
      <c r="E107" s="285">
        <f>+SpEdSup!D53</f>
        <v>-125766</v>
      </c>
      <c r="F107" s="244">
        <f t="shared" si="1"/>
        <v>7486852</v>
      </c>
      <c r="G107" s="2" t="s">
        <v>37</v>
      </c>
      <c r="H107" s="2"/>
    </row>
    <row r="108" spans="1:8" x14ac:dyDescent="0.25">
      <c r="A108" s="241">
        <v>71141</v>
      </c>
      <c r="B108" s="242" t="s">
        <v>456</v>
      </c>
      <c r="C108" s="241">
        <v>28</v>
      </c>
      <c r="D108" s="244">
        <f>+Magnets!C63</f>
        <v>29000</v>
      </c>
      <c r="E108" s="287">
        <f>+Magnets!D63</f>
        <v>-10000</v>
      </c>
      <c r="F108" s="244">
        <f t="shared" si="1"/>
        <v>19000</v>
      </c>
      <c r="G108" s="2" t="s">
        <v>32</v>
      </c>
      <c r="H108" s="2"/>
    </row>
    <row r="109" spans="1:8" x14ac:dyDescent="0.25">
      <c r="A109" s="241">
        <v>71134</v>
      </c>
      <c r="B109" s="242" t="s">
        <v>128</v>
      </c>
      <c r="C109" s="241">
        <v>29</v>
      </c>
      <c r="D109" s="244">
        <f>+SAS!C12</f>
        <v>644</v>
      </c>
      <c r="E109" s="287">
        <f>+SAS!D12</f>
        <v>0</v>
      </c>
      <c r="F109" s="244">
        <f t="shared" si="1"/>
        <v>644</v>
      </c>
      <c r="G109" s="2" t="s">
        <v>32</v>
      </c>
      <c r="H109" s="2"/>
    </row>
    <row r="110" spans="1:8" x14ac:dyDescent="0.25">
      <c r="A110" s="241">
        <v>71122</v>
      </c>
      <c r="B110" s="250" t="s">
        <v>255</v>
      </c>
      <c r="C110" s="241">
        <v>46</v>
      </c>
      <c r="D110" s="243">
        <f>+Summer!C18</f>
        <v>130219</v>
      </c>
      <c r="E110" s="285">
        <f>+Summer!D18</f>
        <v>0</v>
      </c>
      <c r="F110" s="244">
        <f t="shared" si="1"/>
        <v>130219</v>
      </c>
      <c r="G110" s="2" t="s">
        <v>37</v>
      </c>
      <c r="H110" s="2"/>
    </row>
    <row r="111" spans="1:8" x14ac:dyDescent="0.25">
      <c r="A111" s="241">
        <v>71130</v>
      </c>
      <c r="B111" s="242" t="s">
        <v>421</v>
      </c>
      <c r="C111" s="241">
        <v>26</v>
      </c>
      <c r="D111" s="244">
        <f>+Screening!C19</f>
        <v>5638</v>
      </c>
      <c r="E111" s="287">
        <f>+Screening!D19</f>
        <v>0</v>
      </c>
      <c r="F111" s="244">
        <f t="shared" si="1"/>
        <v>5638</v>
      </c>
      <c r="G111" s="2" t="s">
        <v>32</v>
      </c>
      <c r="H111" s="2"/>
    </row>
    <row r="112" spans="1:8" x14ac:dyDescent="0.25">
      <c r="A112" s="241">
        <v>72212</v>
      </c>
      <c r="B112" s="242" t="s">
        <v>422</v>
      </c>
      <c r="C112" s="241">
        <v>26</v>
      </c>
      <c r="D112" s="244">
        <f>+Screening!C34</f>
        <v>24926</v>
      </c>
      <c r="E112" s="287">
        <f>+Screening!D34</f>
        <v>0</v>
      </c>
      <c r="F112" s="244">
        <f t="shared" si="1"/>
        <v>24926</v>
      </c>
      <c r="G112" s="2" t="s">
        <v>37</v>
      </c>
      <c r="H112" s="2"/>
    </row>
    <row r="113" spans="1:8" x14ac:dyDescent="0.25">
      <c r="A113" s="241">
        <v>71127</v>
      </c>
      <c r="B113" s="242" t="s">
        <v>121</v>
      </c>
      <c r="C113" s="241">
        <v>37</v>
      </c>
      <c r="D113" s="244">
        <f>+TI!C15</f>
        <v>251686</v>
      </c>
      <c r="E113" s="287">
        <f>+TI!D15</f>
        <v>0</v>
      </c>
      <c r="F113" s="244">
        <f t="shared" si="1"/>
        <v>251686</v>
      </c>
      <c r="G113" s="2" t="s">
        <v>32</v>
      </c>
      <c r="H113" s="2"/>
    </row>
    <row r="114" spans="1:8" x14ac:dyDescent="0.25">
      <c r="A114" s="265">
        <v>72253</v>
      </c>
      <c r="B114" s="242" t="s">
        <v>364</v>
      </c>
      <c r="C114" s="241">
        <v>47</v>
      </c>
      <c r="D114" s="244">
        <f>+TAP!C12</f>
        <v>5000</v>
      </c>
      <c r="E114" s="287">
        <f>+TAP!D12</f>
        <v>0</v>
      </c>
      <c r="F114" s="244">
        <f t="shared" si="1"/>
        <v>5000</v>
      </c>
      <c r="G114" s="2" t="s">
        <v>37</v>
      </c>
      <c r="H114" s="2"/>
    </row>
    <row r="115" spans="1:8" x14ac:dyDescent="0.25">
      <c r="A115" s="241">
        <v>71118</v>
      </c>
      <c r="B115" s="242" t="s">
        <v>473</v>
      </c>
      <c r="C115" s="241">
        <v>22</v>
      </c>
      <c r="D115" s="244">
        <f>+GAT!C18</f>
        <v>18877</v>
      </c>
      <c r="E115" s="287">
        <f>+GAT!D18</f>
        <v>0</v>
      </c>
      <c r="F115" s="244">
        <f t="shared" si="1"/>
        <v>18877</v>
      </c>
      <c r="G115" s="2" t="s">
        <v>32</v>
      </c>
      <c r="H115" s="2"/>
    </row>
    <row r="116" spans="1:8" x14ac:dyDescent="0.25">
      <c r="A116" s="241">
        <v>72206</v>
      </c>
      <c r="B116" s="242" t="s">
        <v>474</v>
      </c>
      <c r="C116" s="241">
        <v>22</v>
      </c>
      <c r="D116" s="244">
        <f>+GAT!C28</f>
        <v>8000</v>
      </c>
      <c r="E116" s="287">
        <f>+GAT!D28</f>
        <v>0</v>
      </c>
      <c r="F116" s="244">
        <f t="shared" si="1"/>
        <v>8000</v>
      </c>
      <c r="G116" s="2" t="s">
        <v>37</v>
      </c>
      <c r="H116" s="2"/>
    </row>
    <row r="117" spans="1:8" x14ac:dyDescent="0.25">
      <c r="A117" s="241">
        <v>72133</v>
      </c>
      <c r="B117" s="242" t="s">
        <v>204</v>
      </c>
      <c r="C117" s="241">
        <v>55</v>
      </c>
      <c r="D117" s="243">
        <f>+Transfer!C31</f>
        <v>240220</v>
      </c>
      <c r="E117" s="285">
        <f>+Transfer!D31</f>
        <v>-212</v>
      </c>
      <c r="F117" s="244">
        <f t="shared" si="1"/>
        <v>240008</v>
      </c>
      <c r="G117" s="2" t="s">
        <v>154</v>
      </c>
      <c r="H117" s="2"/>
    </row>
    <row r="118" spans="1:8" x14ac:dyDescent="0.25">
      <c r="A118" s="241">
        <v>71129</v>
      </c>
      <c r="B118" s="242" t="s">
        <v>85</v>
      </c>
      <c r="C118" s="241">
        <v>28</v>
      </c>
      <c r="D118" s="244">
        <f>+Magnets!C11</f>
        <v>77933</v>
      </c>
      <c r="E118" s="287">
        <f>+Magnets!D11</f>
        <v>-10000</v>
      </c>
      <c r="F118" s="244">
        <f t="shared" si="1"/>
        <v>67933</v>
      </c>
      <c r="G118" s="2" t="s">
        <v>32</v>
      </c>
      <c r="H118" s="2"/>
    </row>
    <row r="119" spans="1:8" x14ac:dyDescent="0.25">
      <c r="A119" s="241">
        <v>71140</v>
      </c>
      <c r="B119" s="242" t="s">
        <v>454</v>
      </c>
      <c r="C119" s="241">
        <v>28</v>
      </c>
      <c r="D119" s="244">
        <f>+Magnets!C56</f>
        <v>70000</v>
      </c>
      <c r="E119" s="287">
        <f>+Magnets!D56</f>
        <v>-10000</v>
      </c>
      <c r="F119" s="244">
        <f t="shared" si="1"/>
        <v>60000</v>
      </c>
      <c r="G119" s="2" t="s">
        <v>32</v>
      </c>
      <c r="H119" s="2"/>
    </row>
    <row r="120" spans="1:8" x14ac:dyDescent="0.25">
      <c r="A120" s="241">
        <v>71108</v>
      </c>
      <c r="B120" s="250" t="s">
        <v>423</v>
      </c>
      <c r="C120" s="241">
        <v>12</v>
      </c>
      <c r="D120" s="244">
        <f>+World!C11</f>
        <v>6000</v>
      </c>
      <c r="E120" s="287">
        <f>+World!D11</f>
        <v>0</v>
      </c>
      <c r="F120" s="244">
        <f t="shared" si="1"/>
        <v>6000</v>
      </c>
      <c r="G120" s="2" t="s">
        <v>32</v>
      </c>
      <c r="H120" s="2"/>
    </row>
    <row r="121" spans="1:8" x14ac:dyDescent="0.25">
      <c r="A121" s="241">
        <v>72223</v>
      </c>
      <c r="B121" s="250" t="s">
        <v>424</v>
      </c>
      <c r="C121" s="241">
        <v>12</v>
      </c>
      <c r="D121" s="244">
        <f>+World!C20</f>
        <v>11000</v>
      </c>
      <c r="E121" s="287">
        <f>+World!D20</f>
        <v>0</v>
      </c>
      <c r="F121" s="244">
        <f t="shared" si="1"/>
        <v>11000</v>
      </c>
      <c r="G121" s="2" t="s">
        <v>37</v>
      </c>
      <c r="H121" s="2"/>
    </row>
    <row r="122" spans="1:8" ht="13.8" x14ac:dyDescent="0.25">
      <c r="A122" s="245"/>
      <c r="B122" s="246" t="s">
        <v>382</v>
      </c>
      <c r="C122" s="245"/>
      <c r="D122" s="247">
        <f>SUM(D30:D121)</f>
        <v>335288679</v>
      </c>
      <c r="E122" s="286">
        <f>SUM(E30:E121)</f>
        <v>3842663</v>
      </c>
      <c r="F122" s="248">
        <f>SUM(F30:F121)</f>
        <v>339131342</v>
      </c>
      <c r="G122" s="137"/>
      <c r="H122" s="137"/>
    </row>
    <row r="123" spans="1:8" x14ac:dyDescent="0.25">
      <c r="A123" s="245"/>
      <c r="B123" s="251"/>
      <c r="C123" s="245"/>
      <c r="D123" s="374">
        <f>+D122/D145</f>
        <v>0.79855925566905706</v>
      </c>
      <c r="E123" s="307">
        <f>+E122/D122</f>
        <v>1.1460759759204396E-2</v>
      </c>
      <c r="F123" s="374">
        <f>+F122/F145</f>
        <v>0.79817207479670971</v>
      </c>
      <c r="G123" s="137"/>
      <c r="H123" s="137"/>
    </row>
    <row r="124" spans="1:8" x14ac:dyDescent="0.25">
      <c r="A124" s="241"/>
      <c r="B124" s="250"/>
      <c r="C124" s="241"/>
      <c r="D124" s="243"/>
      <c r="E124" s="285"/>
      <c r="F124" s="244"/>
      <c r="G124" s="2"/>
      <c r="H124" s="2"/>
    </row>
    <row r="125" spans="1:8" x14ac:dyDescent="0.25">
      <c r="A125" s="241">
        <v>72310</v>
      </c>
      <c r="B125" s="242" t="s">
        <v>425</v>
      </c>
      <c r="C125" s="241">
        <v>58</v>
      </c>
      <c r="D125" s="243">
        <f>+Board!C36</f>
        <v>693092</v>
      </c>
      <c r="E125" s="285">
        <f>+Board!D36</f>
        <v>68000</v>
      </c>
      <c r="F125" s="244">
        <f>SUM(D125:E125)</f>
        <v>761092</v>
      </c>
      <c r="G125" s="2" t="s">
        <v>216</v>
      </c>
      <c r="H125" s="2"/>
    </row>
    <row r="126" spans="1:8" x14ac:dyDescent="0.25">
      <c r="A126" s="241">
        <v>72626</v>
      </c>
      <c r="B126" s="242" t="s">
        <v>0</v>
      </c>
      <c r="C126" s="241">
        <v>65</v>
      </c>
      <c r="D126" s="243">
        <f>+Facilities!C35</f>
        <v>359755</v>
      </c>
      <c r="E126" s="285">
        <f>+Facilities!D35</f>
        <v>-1470</v>
      </c>
      <c r="F126" s="244">
        <f>SUM(D126:E126)</f>
        <v>358285</v>
      </c>
      <c r="G126" s="2" t="s">
        <v>21</v>
      </c>
      <c r="H126" s="2"/>
    </row>
    <row r="127" spans="1:8" x14ac:dyDescent="0.25">
      <c r="A127" s="241">
        <v>72620</v>
      </c>
      <c r="B127" s="242" t="s">
        <v>55</v>
      </c>
      <c r="C127" s="241">
        <v>64</v>
      </c>
      <c r="D127" s="243">
        <f>+Maint!C45</f>
        <v>9578838</v>
      </c>
      <c r="E127" s="285">
        <f>+Maint!D45</f>
        <v>26055</v>
      </c>
      <c r="F127" s="244">
        <f>SUM(D127:E127)</f>
        <v>9604893</v>
      </c>
      <c r="G127" s="2" t="s">
        <v>21</v>
      </c>
      <c r="H127" s="2"/>
    </row>
    <row r="128" spans="1:8" x14ac:dyDescent="0.25">
      <c r="A128" s="241">
        <v>72610</v>
      </c>
      <c r="B128" s="242" t="s">
        <v>69</v>
      </c>
      <c r="C128" s="241">
        <v>63</v>
      </c>
      <c r="D128" s="243">
        <f>+Oper!C52-D133</f>
        <v>13637419</v>
      </c>
      <c r="E128" s="285">
        <f>+Oper!D52-E133</f>
        <v>-231569</v>
      </c>
      <c r="F128" s="244">
        <f>SUM(D128:E128)</f>
        <v>13405850</v>
      </c>
      <c r="G128" s="2" t="s">
        <v>21</v>
      </c>
      <c r="H128" s="2"/>
    </row>
    <row r="129" spans="1:8" x14ac:dyDescent="0.25">
      <c r="A129" s="241">
        <v>72512</v>
      </c>
      <c r="B129" s="242" t="s">
        <v>227</v>
      </c>
      <c r="C129" s="241">
        <v>61</v>
      </c>
      <c r="D129" s="243">
        <f>+WH!C28</f>
        <v>203836</v>
      </c>
      <c r="E129" s="285">
        <f>+WH!D28</f>
        <v>480</v>
      </c>
      <c r="F129" s="244">
        <f>SUM(D129:E129)</f>
        <v>204316</v>
      </c>
      <c r="G129" s="2" t="s">
        <v>223</v>
      </c>
      <c r="H129" s="2"/>
    </row>
    <row r="130" spans="1:8" ht="13.8" x14ac:dyDescent="0.25">
      <c r="A130" s="245"/>
      <c r="B130" s="246" t="s">
        <v>21</v>
      </c>
      <c r="C130" s="245"/>
      <c r="D130" s="247">
        <f>SUM(D125:D129)</f>
        <v>24472940</v>
      </c>
      <c r="E130" s="247">
        <f>SUM(E125:E129)</f>
        <v>-138504</v>
      </c>
      <c r="F130" s="247">
        <f>SUM(F125:F129)</f>
        <v>24334436</v>
      </c>
      <c r="G130" s="137"/>
      <c r="H130" s="137"/>
    </row>
    <row r="131" spans="1:8" x14ac:dyDescent="0.25">
      <c r="A131" s="245"/>
      <c r="B131" s="249"/>
      <c r="C131" s="245"/>
      <c r="D131" s="374">
        <f>+D130/D145</f>
        <v>5.8287362426673206E-2</v>
      </c>
      <c r="E131" s="384">
        <f>+E130/D130</f>
        <v>-5.6594753225399155E-3</v>
      </c>
      <c r="F131" s="374">
        <f>+F130/F145</f>
        <v>5.7272993868929242E-2</v>
      </c>
      <c r="G131" s="137"/>
      <c r="H131" s="137"/>
    </row>
    <row r="132" spans="1:8" x14ac:dyDescent="0.25">
      <c r="A132" s="241"/>
      <c r="B132" s="242"/>
      <c r="C132" s="241"/>
      <c r="D132" s="243"/>
      <c r="E132" s="285"/>
      <c r="F132" s="244"/>
      <c r="G132" s="2"/>
      <c r="H132" s="2"/>
    </row>
    <row r="133" spans="1:8" ht="13.8" x14ac:dyDescent="0.25">
      <c r="A133" s="245">
        <v>72610</v>
      </c>
      <c r="B133" s="252" t="s">
        <v>465</v>
      </c>
      <c r="C133" s="245"/>
      <c r="D133" s="247">
        <f>+Oper!C31+Oper!C32+Oper!C33+Oper!C34+Oper!C47+Oper!C48</f>
        <v>15966085</v>
      </c>
      <c r="E133" s="247">
        <f>+Oper!D31+Oper!D32+Oper!D33+Oper!D34+Oper!D47+Oper!D48</f>
        <v>0</v>
      </c>
      <c r="F133" s="248">
        <f>SUM(D133:E133)</f>
        <v>15966085</v>
      </c>
      <c r="G133" s="137"/>
      <c r="H133" s="137"/>
    </row>
    <row r="134" spans="1:8" x14ac:dyDescent="0.25">
      <c r="A134" s="245"/>
      <c r="B134" s="249"/>
      <c r="C134" s="245"/>
      <c r="D134" s="374">
        <f>+D133/D145</f>
        <v>3.8026529829684165E-2</v>
      </c>
      <c r="E134" s="307">
        <f>+E133/D133</f>
        <v>0</v>
      </c>
      <c r="F134" s="374">
        <f>+F133/F145</f>
        <v>3.7577426833143086E-2</v>
      </c>
      <c r="G134" s="137"/>
      <c r="H134" s="137"/>
    </row>
    <row r="135" spans="1:8" x14ac:dyDescent="0.25">
      <c r="A135" s="241"/>
      <c r="B135" s="242"/>
      <c r="C135" s="241"/>
      <c r="D135" s="243"/>
      <c r="E135" s="285"/>
      <c r="F135" s="244"/>
      <c r="G135" s="2"/>
      <c r="H135" s="2"/>
    </row>
    <row r="136" spans="1:8" ht="13.8" x14ac:dyDescent="0.25">
      <c r="A136" s="245" t="s">
        <v>431</v>
      </c>
      <c r="B136" s="252" t="s">
        <v>250</v>
      </c>
      <c r="C136" s="245">
        <v>75</v>
      </c>
      <c r="D136" s="247">
        <f>+Trsp!C72</f>
        <v>15191191</v>
      </c>
      <c r="E136" s="286">
        <f>+Trsp!D72</f>
        <v>588186</v>
      </c>
      <c r="F136" s="248">
        <f>SUM(D136:E136)</f>
        <v>15779377</v>
      </c>
      <c r="G136" s="137" t="s">
        <v>270</v>
      </c>
      <c r="H136" s="137"/>
    </row>
    <row r="137" spans="1:8" x14ac:dyDescent="0.25">
      <c r="A137" s="245">
        <v>72719</v>
      </c>
      <c r="B137" s="249"/>
      <c r="C137" s="245"/>
      <c r="D137" s="374">
        <f>+D136/D145</f>
        <v>3.6180959684852583E-2</v>
      </c>
      <c r="E137" s="307">
        <f>+E136/D136</f>
        <v>3.8718886491519985E-2</v>
      </c>
      <c r="F137" s="374">
        <f>+F136/F145</f>
        <v>3.7137994986878801E-2</v>
      </c>
      <c r="G137" s="137"/>
      <c r="H137" s="137"/>
    </row>
    <row r="138" spans="1:8" x14ac:dyDescent="0.25">
      <c r="A138" s="241"/>
      <c r="B138" s="242"/>
      <c r="C138" s="241"/>
      <c r="D138" s="243"/>
      <c r="E138" s="285"/>
      <c r="F138" s="244"/>
      <c r="G138" s="2"/>
      <c r="H138" s="2"/>
    </row>
    <row r="139" spans="1:8" x14ac:dyDescent="0.25">
      <c r="A139" s="241">
        <v>72812</v>
      </c>
      <c r="B139" s="242" t="s">
        <v>258</v>
      </c>
      <c r="C139" s="241">
        <v>69</v>
      </c>
      <c r="D139" s="243">
        <f>+Tech!C41</f>
        <v>5241941</v>
      </c>
      <c r="E139" s="285">
        <f>+Tech!D41</f>
        <v>302678</v>
      </c>
      <c r="F139" s="244">
        <f>SUM(D139:E139)</f>
        <v>5544619</v>
      </c>
      <c r="G139" s="2" t="s">
        <v>26</v>
      </c>
      <c r="H139" s="2"/>
    </row>
    <row r="140" spans="1:8" x14ac:dyDescent="0.25">
      <c r="A140" s="241">
        <v>72813</v>
      </c>
      <c r="B140" s="242" t="s">
        <v>504</v>
      </c>
      <c r="C140" s="241">
        <v>71</v>
      </c>
      <c r="D140" s="243">
        <f>+InstrTech!C29</f>
        <v>843950</v>
      </c>
      <c r="E140" s="285">
        <f>+InstrTech!D29</f>
        <v>3050</v>
      </c>
      <c r="F140" s="244">
        <f>+InstrTech!E29</f>
        <v>847000</v>
      </c>
      <c r="G140" s="2"/>
      <c r="H140" s="2"/>
    </row>
    <row r="141" spans="1:8" ht="13.8" x14ac:dyDescent="0.25">
      <c r="A141" s="245"/>
      <c r="B141" s="252" t="s">
        <v>258</v>
      </c>
      <c r="C141" s="245"/>
      <c r="D141" s="247">
        <f>SUM(D139:D140)</f>
        <v>6085891</v>
      </c>
      <c r="E141" s="247">
        <f>SUM(E139:E140)</f>
        <v>305728</v>
      </c>
      <c r="F141" s="247">
        <f>SUM(F139:F140)</f>
        <v>6391619</v>
      </c>
      <c r="G141" s="137"/>
      <c r="H141" s="137"/>
    </row>
    <row r="142" spans="1:8" x14ac:dyDescent="0.25">
      <c r="A142" s="245"/>
      <c r="B142" s="249"/>
      <c r="C142" s="245"/>
      <c r="D142" s="374">
        <f>+D141/D145</f>
        <v>1.4494806688784782E-2</v>
      </c>
      <c r="E142" s="307">
        <f>+E141/D141</f>
        <v>5.0235536587822559E-2</v>
      </c>
      <c r="F142" s="374">
        <f>+F141/F145</f>
        <v>1.5043174035327206E-2</v>
      </c>
      <c r="G142" s="137"/>
      <c r="H142" s="137"/>
    </row>
    <row r="143" spans="1:8" x14ac:dyDescent="0.25">
      <c r="A143" s="87"/>
      <c r="B143" s="87"/>
      <c r="C143" s="253"/>
      <c r="D143" s="254"/>
    </row>
    <row r="144" spans="1:8" ht="13.8" thickBot="1" x14ac:dyDescent="0.3">
      <c r="A144" s="87"/>
      <c r="B144" s="87"/>
      <c r="C144" s="253"/>
      <c r="D144" s="254"/>
    </row>
    <row r="145" spans="1:31" ht="16.2" thickBot="1" x14ac:dyDescent="0.35">
      <c r="A145" s="89"/>
      <c r="B145" s="89" t="s">
        <v>426</v>
      </c>
      <c r="C145" s="156"/>
      <c r="D145" s="255">
        <f>+D13+D19+D27+D122+D130+D133+D136+D141</f>
        <v>419867000</v>
      </c>
      <c r="E145" s="255">
        <f>+E13+E19+E27+E122+E130+E133+E136+E141</f>
        <v>5018000</v>
      </c>
      <c r="F145" s="330">
        <f>+F13+F19+F27+F122+F130+F133+F136+F141</f>
        <v>424885000</v>
      </c>
      <c r="G145" s="293"/>
      <c r="L145" s="383"/>
    </row>
    <row r="146" spans="1:31" ht="15.6" x14ac:dyDescent="0.3">
      <c r="C146" s="156"/>
      <c r="D146" s="256"/>
      <c r="E146" s="375">
        <f>+E145/D145</f>
        <v>1.195140365877766E-2</v>
      </c>
      <c r="F146" s="343"/>
      <c r="G146" s="341"/>
      <c r="L146" s="370"/>
    </row>
    <row r="147" spans="1:31" ht="15.6" x14ac:dyDescent="0.3">
      <c r="C147" s="156"/>
      <c r="D147" s="256"/>
      <c r="E147" s="344"/>
      <c r="F147" s="343"/>
      <c r="G147" s="341"/>
    </row>
    <row r="148" spans="1:31" ht="16.2" thickBot="1" x14ac:dyDescent="0.35">
      <c r="C148" s="156"/>
      <c r="D148" s="256"/>
      <c r="E148" s="288"/>
      <c r="F148" s="162"/>
      <c r="G148" s="162"/>
    </row>
    <row r="149" spans="1:31" ht="25.2" thickBot="1" x14ac:dyDescent="0.45">
      <c r="B149" s="394" t="s">
        <v>515</v>
      </c>
      <c r="C149" s="395"/>
      <c r="D149" s="395"/>
      <c r="E149" s="395"/>
      <c r="F149" s="395"/>
      <c r="G149" s="395"/>
      <c r="H149" s="396"/>
    </row>
    <row r="150" spans="1:31" ht="15.75" customHeight="1" x14ac:dyDescent="0.25">
      <c r="B150" s="397"/>
      <c r="C150" s="397"/>
      <c r="D150" s="397"/>
      <c r="E150" s="397"/>
      <c r="F150" s="397"/>
      <c r="G150" s="397"/>
      <c r="H150" s="397"/>
    </row>
    <row r="151" spans="1:31" ht="15.6" x14ac:dyDescent="0.3">
      <c r="B151" s="259"/>
      <c r="C151" s="260"/>
      <c r="D151" s="257"/>
      <c r="E151" s="258"/>
      <c r="F151" s="261"/>
      <c r="G151" s="215"/>
      <c r="H151" s="215"/>
      <c r="J151" s="264"/>
      <c r="K151" s="263"/>
      <c r="L151" s="263"/>
      <c r="M151" s="262"/>
      <c r="N151" s="262"/>
    </row>
    <row r="152" spans="1:31" x14ac:dyDescent="0.25">
      <c r="B152" s="242"/>
      <c r="C152" s="260"/>
      <c r="D152" s="257"/>
      <c r="E152" s="258"/>
      <c r="F152" s="257"/>
      <c r="G152" s="215"/>
      <c r="H152" s="215"/>
      <c r="K152" s="59"/>
      <c r="L152" s="59"/>
    </row>
    <row r="153" spans="1:31" x14ac:dyDescent="0.25">
      <c r="B153" s="242"/>
      <c r="C153" s="260"/>
      <c r="D153" s="257"/>
      <c r="E153" s="258"/>
      <c r="F153" s="257"/>
      <c r="G153" s="215"/>
      <c r="H153" s="215"/>
      <c r="K153" s="59"/>
      <c r="L153" s="59"/>
    </row>
    <row r="154" spans="1:31" x14ac:dyDescent="0.25">
      <c r="G154" s="215"/>
      <c r="H154" s="215"/>
      <c r="K154" s="59"/>
      <c r="L154" s="59"/>
    </row>
    <row r="155" spans="1:31" x14ac:dyDescent="0.25">
      <c r="G155" s="215"/>
      <c r="H155" s="215"/>
      <c r="K155" s="59"/>
      <c r="L155" s="59"/>
    </row>
    <row r="156" spans="1:31" x14ac:dyDescent="0.25">
      <c r="G156" s="215"/>
      <c r="H156" s="215"/>
      <c r="K156" s="59"/>
      <c r="L156" s="59"/>
    </row>
    <row r="157" spans="1:31" x14ac:dyDescent="0.25">
      <c r="G157" s="215"/>
      <c r="H157" s="215"/>
      <c r="K157" s="59"/>
      <c r="L157" s="59"/>
    </row>
    <row r="158" spans="1:31" x14ac:dyDescent="0.25">
      <c r="G158" s="215"/>
      <c r="H158" s="215"/>
      <c r="K158" s="59"/>
      <c r="L158" s="59"/>
      <c r="O158" s="262"/>
      <c r="P158" s="262"/>
    </row>
    <row r="159" spans="1:31" x14ac:dyDescent="0.25">
      <c r="G159" s="215"/>
      <c r="H159" s="215"/>
      <c r="K159" s="59"/>
      <c r="L159" s="59"/>
    </row>
    <row r="160" spans="1:31" x14ac:dyDescent="0.25">
      <c r="G160" s="215"/>
      <c r="H160" s="215"/>
      <c r="K160" s="59"/>
      <c r="L160" s="59"/>
      <c r="X160" s="215"/>
      <c r="Y160" s="215"/>
      <c r="AA160" s="264"/>
      <c r="AB160" s="263"/>
      <c r="AC160" s="263"/>
      <c r="AD160" s="262"/>
      <c r="AE160" s="262"/>
    </row>
    <row r="161" spans="7:12" x14ac:dyDescent="0.25">
      <c r="G161" s="215"/>
      <c r="H161" s="215"/>
      <c r="K161" s="59"/>
      <c r="L161" s="59"/>
    </row>
    <row r="162" spans="7:12" x14ac:dyDescent="0.25">
      <c r="G162" s="215"/>
      <c r="H162" s="215"/>
      <c r="K162" s="59"/>
      <c r="L162" s="59"/>
    </row>
    <row r="163" spans="7:12" x14ac:dyDescent="0.25">
      <c r="G163" s="215"/>
      <c r="H163" s="215"/>
      <c r="K163" s="59"/>
      <c r="L163" s="59"/>
    </row>
    <row r="164" spans="7:12" x14ac:dyDescent="0.25">
      <c r="G164" s="215"/>
      <c r="H164" s="215"/>
      <c r="K164" s="59"/>
      <c r="L164" s="59"/>
    </row>
    <row r="165" spans="7:12" x14ac:dyDescent="0.25">
      <c r="G165" s="215"/>
      <c r="H165" s="215"/>
      <c r="K165" s="59"/>
      <c r="L165" s="59"/>
    </row>
    <row r="166" spans="7:12" x14ac:dyDescent="0.25">
      <c r="G166" s="215"/>
      <c r="H166" s="215"/>
      <c r="K166" s="59"/>
      <c r="L166" s="59"/>
    </row>
    <row r="167" spans="7:12" x14ac:dyDescent="0.25">
      <c r="G167" s="215"/>
      <c r="H167" s="215"/>
      <c r="K167" s="59"/>
      <c r="L167" s="59"/>
    </row>
    <row r="168" spans="7:12" x14ac:dyDescent="0.25">
      <c r="G168" s="215"/>
      <c r="H168" s="215"/>
      <c r="K168" s="59"/>
      <c r="L168" s="59"/>
    </row>
    <row r="169" spans="7:12" x14ac:dyDescent="0.25">
      <c r="G169" s="215"/>
      <c r="H169" s="215"/>
      <c r="K169" s="59"/>
      <c r="L169" s="59"/>
    </row>
    <row r="170" spans="7:12" x14ac:dyDescent="0.25">
      <c r="G170" s="215"/>
      <c r="H170" s="215"/>
      <c r="K170" s="59"/>
      <c r="L170" s="59"/>
    </row>
    <row r="171" spans="7:12" x14ac:dyDescent="0.25">
      <c r="G171" s="215"/>
      <c r="H171" s="215"/>
      <c r="K171" s="59"/>
      <c r="L171" s="59"/>
    </row>
    <row r="172" spans="7:12" x14ac:dyDescent="0.25">
      <c r="G172" s="215"/>
      <c r="H172" s="215"/>
      <c r="K172" s="59"/>
      <c r="L172" s="59"/>
    </row>
    <row r="173" spans="7:12" x14ac:dyDescent="0.25">
      <c r="G173" s="215"/>
      <c r="H173" s="215"/>
      <c r="K173" s="59"/>
      <c r="L173" s="59"/>
    </row>
    <row r="174" spans="7:12" x14ac:dyDescent="0.25">
      <c r="G174" s="215"/>
      <c r="H174" s="215"/>
      <c r="K174" s="59"/>
      <c r="L174" s="59"/>
    </row>
    <row r="175" spans="7:12" x14ac:dyDescent="0.25">
      <c r="G175" s="215"/>
      <c r="H175" s="215"/>
      <c r="K175" s="59"/>
      <c r="L175" s="59"/>
    </row>
    <row r="176" spans="7:12" x14ac:dyDescent="0.25">
      <c r="G176" s="215"/>
      <c r="H176" s="215"/>
      <c r="K176" s="59"/>
      <c r="L176" s="59"/>
    </row>
    <row r="177" spans="3:14" x14ac:dyDescent="0.25">
      <c r="G177" s="215"/>
      <c r="H177" s="215"/>
      <c r="K177" s="59"/>
      <c r="L177" s="59"/>
    </row>
    <row r="178" spans="3:14" x14ac:dyDescent="0.25">
      <c r="G178" s="215"/>
      <c r="H178" s="215"/>
      <c r="K178" s="59"/>
      <c r="L178" s="59"/>
    </row>
    <row r="188" spans="3:14" x14ac:dyDescent="0.25">
      <c r="I188" s="215"/>
      <c r="J188" s="215"/>
      <c r="M188" s="59"/>
      <c r="N188" s="59"/>
    </row>
    <row r="189" spans="3:14" x14ac:dyDescent="0.25">
      <c r="I189" s="215"/>
      <c r="J189" s="215"/>
      <c r="M189" s="59"/>
      <c r="N189" s="59"/>
    </row>
    <row r="190" spans="3:14" x14ac:dyDescent="0.25">
      <c r="C190" s="238" t="s">
        <v>320</v>
      </c>
      <c r="I190" s="215"/>
      <c r="J190" s="215"/>
      <c r="M190" s="59"/>
      <c r="N190" s="59"/>
    </row>
    <row r="191" spans="3:14" x14ac:dyDescent="0.25">
      <c r="C191" s="238" t="s">
        <v>275</v>
      </c>
      <c r="I191" s="215"/>
      <c r="J191" s="215"/>
      <c r="M191" s="59"/>
      <c r="N191" s="59"/>
    </row>
    <row r="192" spans="3:14" x14ac:dyDescent="0.25">
      <c r="I192" s="215"/>
      <c r="J192" s="215"/>
      <c r="M192" s="59"/>
      <c r="N192" s="59"/>
    </row>
    <row r="193" spans="2:14" x14ac:dyDescent="0.25">
      <c r="B193" t="s">
        <v>428</v>
      </c>
      <c r="C193" s="339">
        <f>+D28</f>
        <v>3.2559470022650028E-2</v>
      </c>
      <c r="I193" s="215"/>
      <c r="J193" s="215"/>
      <c r="M193" s="59"/>
      <c r="N193" s="59"/>
    </row>
    <row r="194" spans="2:14" x14ac:dyDescent="0.25">
      <c r="B194" t="s">
        <v>429</v>
      </c>
      <c r="C194" s="267">
        <f>+D123</f>
        <v>0.79855925566905706</v>
      </c>
      <c r="I194" s="215"/>
      <c r="J194" s="215"/>
      <c r="M194" s="59"/>
      <c r="N194" s="59"/>
    </row>
    <row r="195" spans="2:14" x14ac:dyDescent="0.25">
      <c r="B195" t="s">
        <v>270</v>
      </c>
      <c r="C195" s="267">
        <f>+D137</f>
        <v>3.6180959684852583E-2</v>
      </c>
      <c r="I195" s="215"/>
      <c r="J195" s="215"/>
      <c r="M195" s="59"/>
      <c r="N195" s="59"/>
    </row>
    <row r="196" spans="2:14" x14ac:dyDescent="0.25">
      <c r="B196" t="s">
        <v>374</v>
      </c>
      <c r="C196" s="267">
        <f>+D14</f>
        <v>8.4945780449523309E-3</v>
      </c>
      <c r="I196" s="215"/>
      <c r="J196" s="215"/>
      <c r="M196" s="59"/>
      <c r="N196" s="59"/>
    </row>
    <row r="197" spans="2:14" x14ac:dyDescent="0.25">
      <c r="B197" s="2" t="s">
        <v>441</v>
      </c>
      <c r="C197" s="267">
        <f>+D20</f>
        <v>1.3397037633345798E-2</v>
      </c>
      <c r="I197" s="215"/>
      <c r="J197" s="215"/>
      <c r="M197" s="59"/>
      <c r="N197" s="59"/>
    </row>
    <row r="198" spans="2:14" x14ac:dyDescent="0.25">
      <c r="B198" s="2" t="s">
        <v>430</v>
      </c>
      <c r="C198" s="267">
        <f>+D131</f>
        <v>5.8287362426673206E-2</v>
      </c>
      <c r="I198" s="215"/>
      <c r="J198" s="215"/>
      <c r="M198" s="59"/>
      <c r="N198" s="59"/>
    </row>
    <row r="199" spans="2:14" x14ac:dyDescent="0.25">
      <c r="B199" s="2" t="s">
        <v>438</v>
      </c>
      <c r="C199" s="267">
        <f>+D134</f>
        <v>3.8026529829684165E-2</v>
      </c>
      <c r="I199" s="215"/>
      <c r="J199" s="215"/>
      <c r="M199" s="59"/>
      <c r="N199" s="59"/>
    </row>
    <row r="200" spans="2:14" x14ac:dyDescent="0.25">
      <c r="B200" t="s">
        <v>258</v>
      </c>
      <c r="C200" s="267">
        <f>+D142</f>
        <v>1.4494806688784782E-2</v>
      </c>
      <c r="I200" s="215"/>
      <c r="J200" s="215"/>
      <c r="M200" s="59"/>
      <c r="N200" s="59"/>
    </row>
    <row r="201" spans="2:14" x14ac:dyDescent="0.25">
      <c r="C201" s="267"/>
      <c r="I201" s="215"/>
      <c r="J201" s="215"/>
      <c r="M201" s="59"/>
      <c r="N201" s="59"/>
    </row>
    <row r="202" spans="2:14" x14ac:dyDescent="0.25">
      <c r="C202" s="336" t="s">
        <v>321</v>
      </c>
      <c r="I202" s="215"/>
      <c r="J202" s="215"/>
      <c r="M202" s="59"/>
      <c r="N202" s="59"/>
    </row>
    <row r="203" spans="2:14" x14ac:dyDescent="0.25">
      <c r="C203" s="336" t="s">
        <v>275</v>
      </c>
      <c r="I203" s="215"/>
      <c r="J203" s="215"/>
      <c r="M203" s="59"/>
      <c r="N203" s="59"/>
    </row>
    <row r="204" spans="2:14" x14ac:dyDescent="0.25">
      <c r="C204" s="267"/>
      <c r="I204" s="215"/>
      <c r="J204" s="215"/>
      <c r="M204" s="59"/>
      <c r="N204" s="59"/>
    </row>
    <row r="205" spans="2:14" x14ac:dyDescent="0.25">
      <c r="B205" t="s">
        <v>428</v>
      </c>
      <c r="C205" s="267">
        <f>+F28</f>
        <v>3.2174934394012498E-2</v>
      </c>
      <c r="I205" s="215"/>
      <c r="J205" s="215"/>
      <c r="M205" s="59"/>
      <c r="N205" s="59"/>
    </row>
    <row r="206" spans="2:14" x14ac:dyDescent="0.25">
      <c r="B206" t="s">
        <v>429</v>
      </c>
      <c r="C206" s="267">
        <f>+F123</f>
        <v>0.79817207479670971</v>
      </c>
      <c r="I206" s="215"/>
      <c r="J206" s="215"/>
      <c r="M206" s="59"/>
      <c r="N206" s="59"/>
    </row>
    <row r="207" spans="2:14" x14ac:dyDescent="0.25">
      <c r="B207" t="s">
        <v>270</v>
      </c>
      <c r="C207" s="267">
        <f>+F137</f>
        <v>3.7137994986878801E-2</v>
      </c>
      <c r="I207" s="215"/>
      <c r="J207" s="215"/>
      <c r="M207" s="59"/>
      <c r="N207" s="59"/>
    </row>
    <row r="208" spans="2:14" x14ac:dyDescent="0.25">
      <c r="B208" t="s">
        <v>374</v>
      </c>
      <c r="C208" s="267">
        <f>+F14</f>
        <v>8.4017698906763E-3</v>
      </c>
      <c r="I208" s="215"/>
      <c r="J208" s="215"/>
      <c r="M208" s="59"/>
      <c r="N208" s="59"/>
    </row>
    <row r="209" spans="2:14" x14ac:dyDescent="0.25">
      <c r="B209" s="2" t="s">
        <v>441</v>
      </c>
      <c r="C209" s="267">
        <f>+F20</f>
        <v>1.421963119432317E-2</v>
      </c>
      <c r="I209" s="215"/>
      <c r="J209" s="215"/>
      <c r="M209" s="59"/>
      <c r="N209" s="59"/>
    </row>
    <row r="210" spans="2:14" x14ac:dyDescent="0.25">
      <c r="B210" s="2" t="s">
        <v>430</v>
      </c>
      <c r="C210" s="267">
        <f>+F131</f>
        <v>5.7272993868929242E-2</v>
      </c>
      <c r="I210" s="215"/>
      <c r="J210" s="215"/>
      <c r="M210" s="59"/>
      <c r="N210" s="59"/>
    </row>
    <row r="211" spans="2:14" x14ac:dyDescent="0.25">
      <c r="B211" s="2" t="s">
        <v>438</v>
      </c>
      <c r="C211" s="267">
        <f>+F134</f>
        <v>3.7577426833143086E-2</v>
      </c>
      <c r="I211" s="215"/>
      <c r="J211" s="215"/>
      <c r="M211" s="59"/>
      <c r="N211" s="59"/>
    </row>
    <row r="212" spans="2:14" x14ac:dyDescent="0.25">
      <c r="B212" t="s">
        <v>258</v>
      </c>
      <c r="C212" s="267">
        <f>+F142</f>
        <v>1.5043174035327206E-2</v>
      </c>
      <c r="I212" s="215"/>
      <c r="J212" s="215"/>
      <c r="M212" s="59"/>
      <c r="N212" s="59"/>
    </row>
    <row r="213" spans="2:14" x14ac:dyDescent="0.25">
      <c r="I213" s="215"/>
      <c r="J213" s="215"/>
      <c r="M213" s="59"/>
      <c r="N213" s="59"/>
    </row>
    <row r="214" spans="2:14" x14ac:dyDescent="0.25">
      <c r="I214" s="215"/>
      <c r="J214" s="215"/>
      <c r="M214" s="59"/>
      <c r="N214" s="59"/>
    </row>
  </sheetData>
  <mergeCells count="3">
    <mergeCell ref="G6:H6"/>
    <mergeCell ref="B149:H149"/>
    <mergeCell ref="B150:H150"/>
  </mergeCells>
  <printOptions horizontalCentered="1"/>
  <pageMargins left="0.45" right="0.45" top="0.2" bottom="0.45" header="0.3" footer="0.3"/>
  <pageSetup scale="64" firstPageNumber="5" fitToHeight="3" orientation="landscape" r:id="rId1"/>
  <rowBreaks count="1" manualBreakCount="1">
    <brk id="124" max="7" man="1"/>
  </rowBreaks>
  <ignoredErrors>
    <ignoredError sqref="E93:E107 E142:E144 E129:E132 E82:E89 E123:E127 E14:E56 E109:E122 E134:E139 E58:E80" formula="1"/>
  </ignoredErrors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E50"/>
  <sheetViews>
    <sheetView topLeftCell="A10" workbookViewId="0">
      <selection activeCell="A3" sqref="A3"/>
    </sheetView>
  </sheetViews>
  <sheetFormatPr defaultRowHeight="13.2" x14ac:dyDescent="0.25"/>
  <cols>
    <col min="1" max="1" width="11.6640625" customWidth="1"/>
    <col min="2" max="2" width="52.6640625" customWidth="1"/>
    <col min="3" max="3" width="17.6640625" customWidth="1"/>
    <col min="4" max="4" width="17.6640625" style="215" customWidth="1"/>
    <col min="5" max="6" width="17.6640625" customWidth="1"/>
  </cols>
  <sheetData>
    <row r="1" spans="1:5" ht="15.6" x14ac:dyDescent="0.3">
      <c r="A1" s="5" t="s">
        <v>261</v>
      </c>
    </row>
    <row r="2" spans="1:5" ht="15.6" x14ac:dyDescent="0.3">
      <c r="A2" s="5" t="s">
        <v>510</v>
      </c>
    </row>
    <row r="3" spans="1:5" ht="13.8" thickBot="1" x14ac:dyDescent="0.3"/>
    <row r="4" spans="1:5" ht="15.6" x14ac:dyDescent="0.3">
      <c r="A4" s="413" t="s">
        <v>286</v>
      </c>
      <c r="B4" s="414"/>
      <c r="C4" s="94" t="s">
        <v>483</v>
      </c>
      <c r="D4" s="356"/>
      <c r="E4" s="362" t="s">
        <v>511</v>
      </c>
    </row>
    <row r="5" spans="1:5" ht="15.6" x14ac:dyDescent="0.3">
      <c r="A5" s="60"/>
      <c r="B5" s="61"/>
      <c r="C5" s="93" t="s">
        <v>345</v>
      </c>
      <c r="D5" s="358"/>
      <c r="E5" s="363" t="s">
        <v>342</v>
      </c>
    </row>
    <row r="6" spans="1:5" ht="16.2" thickBot="1" x14ac:dyDescent="0.35">
      <c r="A6" s="13"/>
      <c r="B6" s="14"/>
      <c r="C6" s="14" t="s">
        <v>290</v>
      </c>
      <c r="D6" s="360" t="s">
        <v>493</v>
      </c>
      <c r="E6" s="364" t="s">
        <v>290</v>
      </c>
    </row>
    <row r="7" spans="1:5" ht="13.8" x14ac:dyDescent="0.25">
      <c r="A7" s="62">
        <v>71115</v>
      </c>
      <c r="B7" s="78" t="s">
        <v>32</v>
      </c>
      <c r="C7" s="25"/>
      <c r="D7" s="216"/>
      <c r="E7" s="25"/>
    </row>
    <row r="8" spans="1:5" x14ac:dyDescent="0.25">
      <c r="A8" s="20">
        <v>519500</v>
      </c>
      <c r="B8" s="8" t="s">
        <v>33</v>
      </c>
      <c r="C8" s="66">
        <v>2000</v>
      </c>
      <c r="D8" s="207"/>
      <c r="E8" s="66">
        <f>SUM(C8:D8)</f>
        <v>2000</v>
      </c>
    </row>
    <row r="9" spans="1:5" x14ac:dyDescent="0.25">
      <c r="A9" s="20"/>
      <c r="B9" s="6" t="s">
        <v>102</v>
      </c>
      <c r="C9" s="65">
        <f>SUM(C8)</f>
        <v>2000</v>
      </c>
      <c r="D9" s="208">
        <f>SUM(D8)</f>
        <v>0</v>
      </c>
      <c r="E9" s="65">
        <f>SUM(E8)</f>
        <v>2000</v>
      </c>
    </row>
    <row r="10" spans="1:5" x14ac:dyDescent="0.25">
      <c r="A10" s="20"/>
      <c r="B10" s="8"/>
      <c r="C10" s="66"/>
      <c r="D10" s="207"/>
      <c r="E10" s="66"/>
    </row>
    <row r="11" spans="1:5" x14ac:dyDescent="0.25">
      <c r="A11" s="20">
        <v>520100</v>
      </c>
      <c r="B11" s="8" t="s">
        <v>15</v>
      </c>
      <c r="C11" s="66">
        <v>153</v>
      </c>
      <c r="D11" s="207"/>
      <c r="E11" s="66">
        <f>SUM(C11:D11)</f>
        <v>153</v>
      </c>
    </row>
    <row r="12" spans="1:5" x14ac:dyDescent="0.25">
      <c r="A12" s="20"/>
      <c r="B12" s="6" t="s">
        <v>111</v>
      </c>
      <c r="C12" s="65">
        <f>SUM(C11)</f>
        <v>153</v>
      </c>
      <c r="D12" s="208">
        <f>SUM(D11)</f>
        <v>0</v>
      </c>
      <c r="E12" s="65">
        <f>SUM(E11)</f>
        <v>153</v>
      </c>
    </row>
    <row r="13" spans="1:5" x14ac:dyDescent="0.25">
      <c r="A13" s="20"/>
      <c r="B13" s="8"/>
      <c r="C13" s="66"/>
      <c r="D13" s="207"/>
      <c r="E13" s="66"/>
    </row>
    <row r="14" spans="1:5" x14ac:dyDescent="0.25">
      <c r="A14" s="20">
        <v>543500</v>
      </c>
      <c r="B14" s="26" t="s">
        <v>6</v>
      </c>
      <c r="C14" s="66">
        <v>5000</v>
      </c>
      <c r="D14" s="207"/>
      <c r="E14" s="66">
        <f>SUM(C14:D14)</f>
        <v>5000</v>
      </c>
    </row>
    <row r="15" spans="1:5" x14ac:dyDescent="0.25">
      <c r="A15" s="20">
        <v>542900</v>
      </c>
      <c r="B15" s="26" t="s">
        <v>28</v>
      </c>
      <c r="C15" s="66">
        <v>43159</v>
      </c>
      <c r="D15" s="207"/>
      <c r="E15" s="66">
        <f>SUM(C15:D15)</f>
        <v>43159</v>
      </c>
    </row>
    <row r="16" spans="1:5" x14ac:dyDescent="0.25">
      <c r="A16" s="20">
        <v>542950</v>
      </c>
      <c r="B16" s="26" t="s">
        <v>29</v>
      </c>
      <c r="C16" s="66">
        <v>4000</v>
      </c>
      <c r="D16" s="207"/>
      <c r="E16" s="66">
        <f>SUM(C16:D16)</f>
        <v>4000</v>
      </c>
    </row>
    <row r="17" spans="1:5" x14ac:dyDescent="0.25">
      <c r="A17" s="20">
        <v>543200</v>
      </c>
      <c r="B17" s="26" t="s">
        <v>8</v>
      </c>
      <c r="C17" s="66">
        <v>18415</v>
      </c>
      <c r="D17" s="207"/>
      <c r="E17" s="66">
        <f>SUM(C17:D17)</f>
        <v>18415</v>
      </c>
    </row>
    <row r="18" spans="1:5" x14ac:dyDescent="0.25">
      <c r="A18" s="6"/>
      <c r="B18" s="6" t="s">
        <v>9</v>
      </c>
      <c r="C18" s="65">
        <f>SUM(C14:C17)</f>
        <v>70574</v>
      </c>
      <c r="D18" s="208">
        <f>SUM(D14:D17)</f>
        <v>0</v>
      </c>
      <c r="E18" s="65">
        <f>SUM(E14:E17)</f>
        <v>70574</v>
      </c>
    </row>
    <row r="19" spans="1:5" x14ac:dyDescent="0.25">
      <c r="A19" s="20"/>
      <c r="B19" s="26"/>
      <c r="C19" s="66"/>
      <c r="D19" s="207"/>
      <c r="E19" s="66"/>
    </row>
    <row r="20" spans="1:5" x14ac:dyDescent="0.25">
      <c r="A20" s="20">
        <v>552400</v>
      </c>
      <c r="B20" s="26" t="s">
        <v>336</v>
      </c>
      <c r="C20" s="66">
        <v>16185</v>
      </c>
      <c r="D20" s="207"/>
      <c r="E20" s="66">
        <f>SUM(C20:D20)</f>
        <v>16185</v>
      </c>
    </row>
    <row r="21" spans="1:5" x14ac:dyDescent="0.25">
      <c r="A21" s="8"/>
      <c r="B21" s="6" t="s">
        <v>12</v>
      </c>
      <c r="C21" s="65">
        <f>SUM(C20)</f>
        <v>16185</v>
      </c>
      <c r="D21" s="208">
        <f>SUM(D20)</f>
        <v>0</v>
      </c>
      <c r="E21" s="65">
        <f>SUM(E20)</f>
        <v>16185</v>
      </c>
    </row>
    <row r="22" spans="1:5" x14ac:dyDescent="0.25">
      <c r="A22" s="9"/>
      <c r="B22" s="9"/>
      <c r="C22" s="64"/>
      <c r="D22" s="207"/>
      <c r="E22" s="64"/>
    </row>
    <row r="23" spans="1:5" s="23" customFormat="1" ht="15.6" x14ac:dyDescent="0.3">
      <c r="A23" s="12" t="s">
        <v>287</v>
      </c>
      <c r="B23" s="12"/>
      <c r="C23" s="70">
        <f>+C21+C18+C12+C9</f>
        <v>88912</v>
      </c>
      <c r="D23" s="209">
        <f>+D21+D18+D12+D9</f>
        <v>0</v>
      </c>
      <c r="E23" s="70">
        <f>+E21+E18+E12+E9</f>
        <v>88912</v>
      </c>
    </row>
    <row r="24" spans="1:5" x14ac:dyDescent="0.25">
      <c r="A24" s="103"/>
      <c r="B24" s="103"/>
      <c r="C24" s="103"/>
      <c r="D24" s="222"/>
      <c r="E24" s="103"/>
    </row>
    <row r="25" spans="1:5" x14ac:dyDescent="0.25">
      <c r="A25" s="103"/>
      <c r="B25" s="103"/>
      <c r="C25" s="103"/>
      <c r="D25" s="222"/>
      <c r="E25" s="103"/>
    </row>
    <row r="26" spans="1:5" x14ac:dyDescent="0.25">
      <c r="A26" s="103"/>
      <c r="B26" s="103"/>
      <c r="C26" s="103"/>
      <c r="D26" s="222"/>
      <c r="E26" s="103"/>
    </row>
    <row r="27" spans="1:5" ht="13.8" thickBot="1" x14ac:dyDescent="0.3">
      <c r="A27" s="103"/>
      <c r="B27" s="103"/>
      <c r="C27" s="103"/>
      <c r="D27" s="222"/>
      <c r="E27" s="103"/>
    </row>
    <row r="28" spans="1:5" ht="15.6" x14ac:dyDescent="0.3">
      <c r="A28" s="413" t="s">
        <v>285</v>
      </c>
      <c r="B28" s="414"/>
      <c r="C28" s="94" t="s">
        <v>483</v>
      </c>
      <c r="D28" s="356"/>
      <c r="E28" s="362" t="s">
        <v>511</v>
      </c>
    </row>
    <row r="29" spans="1:5" ht="15.6" x14ac:dyDescent="0.3">
      <c r="A29" s="60"/>
      <c r="B29" s="61"/>
      <c r="C29" s="93" t="s">
        <v>289</v>
      </c>
      <c r="D29" s="358"/>
      <c r="E29" s="363" t="s">
        <v>342</v>
      </c>
    </row>
    <row r="30" spans="1:5" ht="16.2" thickBot="1" x14ac:dyDescent="0.35">
      <c r="A30" s="13"/>
      <c r="B30" s="14"/>
      <c r="C30" s="14" t="s">
        <v>290</v>
      </c>
      <c r="D30" s="360" t="s">
        <v>493</v>
      </c>
      <c r="E30" s="364" t="s">
        <v>290</v>
      </c>
    </row>
    <row r="31" spans="1:5" ht="13.8" x14ac:dyDescent="0.25">
      <c r="A31" s="62">
        <v>71106</v>
      </c>
      <c r="B31" s="78" t="s">
        <v>32</v>
      </c>
      <c r="C31" s="25"/>
      <c r="D31" s="216"/>
      <c r="E31" s="25"/>
    </row>
    <row r="32" spans="1:5" x14ac:dyDescent="0.25">
      <c r="A32" s="20">
        <v>519500</v>
      </c>
      <c r="B32" s="8" t="s">
        <v>33</v>
      </c>
      <c r="C32" s="66">
        <v>3982</v>
      </c>
      <c r="D32" s="207"/>
      <c r="E32" s="66">
        <f>SUM(C32:D32)</f>
        <v>3982</v>
      </c>
    </row>
    <row r="33" spans="1:5" x14ac:dyDescent="0.25">
      <c r="A33" s="20"/>
      <c r="B33" s="6" t="s">
        <v>102</v>
      </c>
      <c r="C33" s="65">
        <f>SUM(C32)</f>
        <v>3982</v>
      </c>
      <c r="D33" s="208">
        <f>SUM(D32)</f>
        <v>0</v>
      </c>
      <c r="E33" s="65">
        <f>SUM(E32)</f>
        <v>3982</v>
      </c>
    </row>
    <row r="34" spans="1:5" x14ac:dyDescent="0.25">
      <c r="A34" s="20"/>
      <c r="B34" s="8"/>
      <c r="C34" s="66"/>
      <c r="D34" s="207"/>
      <c r="E34" s="66"/>
    </row>
    <row r="35" spans="1:5" x14ac:dyDescent="0.25">
      <c r="A35" s="20">
        <v>520100</v>
      </c>
      <c r="B35" s="8" t="s">
        <v>15</v>
      </c>
      <c r="C35" s="66">
        <v>306</v>
      </c>
      <c r="D35" s="207"/>
      <c r="E35" s="66">
        <f>SUM(C35:D35)</f>
        <v>306</v>
      </c>
    </row>
    <row r="36" spans="1:5" x14ac:dyDescent="0.25">
      <c r="A36" s="20"/>
      <c r="B36" s="6" t="s">
        <v>111</v>
      </c>
      <c r="C36" s="65">
        <f>SUM(C35)</f>
        <v>306</v>
      </c>
      <c r="D36" s="208">
        <f>SUM(D35)</f>
        <v>0</v>
      </c>
      <c r="E36" s="65">
        <f>SUM(E35)</f>
        <v>306</v>
      </c>
    </row>
    <row r="37" spans="1:5" x14ac:dyDescent="0.25">
      <c r="A37" s="20"/>
      <c r="B37" s="26"/>
      <c r="C37" s="66"/>
      <c r="D37" s="207"/>
      <c r="E37" s="66"/>
    </row>
    <row r="38" spans="1:5" x14ac:dyDescent="0.25">
      <c r="A38" s="20">
        <v>532000</v>
      </c>
      <c r="B38" s="26" t="s">
        <v>94</v>
      </c>
      <c r="C38" s="66">
        <v>250</v>
      </c>
      <c r="D38" s="207"/>
      <c r="E38" s="66">
        <f>SUM(C38:D38)</f>
        <v>250</v>
      </c>
    </row>
    <row r="39" spans="1:5" x14ac:dyDescent="0.25">
      <c r="A39" s="6"/>
      <c r="B39" s="6" t="s">
        <v>4</v>
      </c>
      <c r="C39" s="65">
        <f>+C38</f>
        <v>250</v>
      </c>
      <c r="D39" s="208">
        <f>+D38</f>
        <v>0</v>
      </c>
      <c r="E39" s="65">
        <f>+E38</f>
        <v>250</v>
      </c>
    </row>
    <row r="40" spans="1:5" x14ac:dyDescent="0.25">
      <c r="A40" s="20"/>
      <c r="B40" s="26"/>
      <c r="C40" s="66"/>
      <c r="D40" s="207"/>
      <c r="E40" s="66"/>
    </row>
    <row r="41" spans="1:5" x14ac:dyDescent="0.25">
      <c r="A41" s="20">
        <v>543500</v>
      </c>
      <c r="B41" s="26" t="s">
        <v>6</v>
      </c>
      <c r="C41" s="66">
        <v>1500</v>
      </c>
      <c r="D41" s="207"/>
      <c r="E41" s="66">
        <f>SUM(C41:D41)</f>
        <v>1500</v>
      </c>
    </row>
    <row r="42" spans="1:5" x14ac:dyDescent="0.25">
      <c r="A42" s="20">
        <v>542900</v>
      </c>
      <c r="B42" s="26" t="s">
        <v>28</v>
      </c>
      <c r="C42" s="66">
        <v>15628</v>
      </c>
      <c r="D42" s="207"/>
      <c r="E42" s="66">
        <f>SUM(C42:D42)</f>
        <v>15628</v>
      </c>
    </row>
    <row r="43" spans="1:5" x14ac:dyDescent="0.25">
      <c r="A43" s="20">
        <v>542950</v>
      </c>
      <c r="B43" s="26" t="s">
        <v>29</v>
      </c>
      <c r="C43" s="66">
        <v>2000</v>
      </c>
      <c r="D43" s="207"/>
      <c r="E43" s="66">
        <f>SUM(C43:D43)</f>
        <v>2000</v>
      </c>
    </row>
    <row r="44" spans="1:5" x14ac:dyDescent="0.25">
      <c r="A44" s="20">
        <v>543200</v>
      </c>
      <c r="B44" s="26" t="s">
        <v>8</v>
      </c>
      <c r="C44" s="66">
        <v>13500</v>
      </c>
      <c r="D44" s="207"/>
      <c r="E44" s="66">
        <f>SUM(C44:D44)</f>
        <v>13500</v>
      </c>
    </row>
    <row r="45" spans="1:5" x14ac:dyDescent="0.25">
      <c r="A45" s="6"/>
      <c r="B45" s="6" t="s">
        <v>9</v>
      </c>
      <c r="C45" s="65">
        <f>SUM(C41:C44)</f>
        <v>32628</v>
      </c>
      <c r="D45" s="208">
        <f>SUM(D41:D44)</f>
        <v>0</v>
      </c>
      <c r="E45" s="65">
        <f>SUM(E41:E44)</f>
        <v>32628</v>
      </c>
    </row>
    <row r="46" spans="1:5" x14ac:dyDescent="0.25">
      <c r="A46" s="20"/>
      <c r="B46" s="26"/>
      <c r="C46" s="66"/>
      <c r="D46" s="207"/>
      <c r="E46" s="66"/>
    </row>
    <row r="47" spans="1:5" x14ac:dyDescent="0.25">
      <c r="A47" s="20">
        <v>552400</v>
      </c>
      <c r="B47" s="26" t="s">
        <v>336</v>
      </c>
      <c r="C47" s="66">
        <v>4985</v>
      </c>
      <c r="D47" s="207"/>
      <c r="E47" s="66">
        <f>SUM(C47:D47)</f>
        <v>4985</v>
      </c>
    </row>
    <row r="48" spans="1:5" x14ac:dyDescent="0.25">
      <c r="A48" s="8"/>
      <c r="B48" s="6" t="s">
        <v>12</v>
      </c>
      <c r="C48" s="65">
        <f>SUM(C47)</f>
        <v>4985</v>
      </c>
      <c r="D48" s="208">
        <f>SUM(D47)</f>
        <v>0</v>
      </c>
      <c r="E48" s="65">
        <f>SUM(E47)</f>
        <v>4985</v>
      </c>
    </row>
    <row r="49" spans="1:5" x14ac:dyDescent="0.25">
      <c r="A49" s="9"/>
      <c r="B49" s="9"/>
      <c r="C49" s="64"/>
      <c r="D49" s="207"/>
      <c r="E49" s="64"/>
    </row>
    <row r="50" spans="1:5" ht="15.6" x14ac:dyDescent="0.3">
      <c r="A50" s="12" t="s">
        <v>288</v>
      </c>
      <c r="B50" s="12"/>
      <c r="C50" s="70">
        <f>+C48+C45+C38+C36+C33</f>
        <v>42151</v>
      </c>
      <c r="D50" s="209">
        <f>+D48+D45+D38+D36+D33</f>
        <v>0</v>
      </c>
      <c r="E50" s="70">
        <f>+E48+E45+E38+E36+E33</f>
        <v>42151</v>
      </c>
    </row>
  </sheetData>
  <mergeCells count="2">
    <mergeCell ref="A4:B4"/>
    <mergeCell ref="A28:B28"/>
  </mergeCells>
  <phoneticPr fontId="0" type="noConversion"/>
  <printOptions horizontalCentered="1"/>
  <pageMargins left="0.75" right="0.75" top="1" bottom="1" header="0.5" footer="0.5"/>
  <pageSetup scale="77" firstPageNumber="19" orientation="portrait" useFirstPageNumber="1" r:id="rId1"/>
  <headerFooter alignWithMargins="0">
    <oddFooter>&amp;C&amp;"Arial,Bold"&amp;P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E39"/>
  <sheetViews>
    <sheetView workbookViewId="0">
      <selection activeCell="D14" sqref="D14"/>
    </sheetView>
  </sheetViews>
  <sheetFormatPr defaultRowHeight="13.2" x14ac:dyDescent="0.25"/>
  <cols>
    <col min="1" max="1" width="11.6640625" customWidth="1"/>
    <col min="2" max="2" width="52.6640625" customWidth="1"/>
    <col min="3" max="3" width="17.6640625" customWidth="1"/>
    <col min="4" max="4" width="17.6640625" style="215" customWidth="1"/>
    <col min="5" max="5" width="17.6640625" customWidth="1"/>
  </cols>
  <sheetData>
    <row r="1" spans="1:5" ht="15.6" x14ac:dyDescent="0.3">
      <c r="A1" s="5" t="s">
        <v>261</v>
      </c>
    </row>
    <row r="2" spans="1:5" ht="15.6" x14ac:dyDescent="0.3">
      <c r="A2" s="5" t="s">
        <v>510</v>
      </c>
    </row>
    <row r="3" spans="1:5" ht="13.8" thickBot="1" x14ac:dyDescent="0.3"/>
    <row r="4" spans="1:5" ht="15.6" x14ac:dyDescent="0.3">
      <c r="A4" s="413" t="s">
        <v>146</v>
      </c>
      <c r="B4" s="414"/>
      <c r="C4" s="94" t="s">
        <v>483</v>
      </c>
      <c r="D4" s="356"/>
      <c r="E4" s="362" t="s">
        <v>511</v>
      </c>
    </row>
    <row r="5" spans="1:5" ht="15.6" x14ac:dyDescent="0.3">
      <c r="A5" s="60"/>
      <c r="B5" s="61"/>
      <c r="C5" s="93" t="s">
        <v>345</v>
      </c>
      <c r="D5" s="358"/>
      <c r="E5" s="363" t="s">
        <v>342</v>
      </c>
    </row>
    <row r="6" spans="1:5" ht="16.2" thickBot="1" x14ac:dyDescent="0.35">
      <c r="A6" s="13"/>
      <c r="B6" s="14"/>
      <c r="C6" s="14" t="s">
        <v>290</v>
      </c>
      <c r="D6" s="360" t="s">
        <v>493</v>
      </c>
      <c r="E6" s="364" t="s">
        <v>290</v>
      </c>
    </row>
    <row r="7" spans="1:5" ht="13.8" x14ac:dyDescent="0.25">
      <c r="A7" s="62">
        <v>71116</v>
      </c>
      <c r="B7" s="78" t="s">
        <v>32</v>
      </c>
      <c r="C7" s="25"/>
      <c r="D7" s="216"/>
      <c r="E7" s="25"/>
    </row>
    <row r="8" spans="1:5" x14ac:dyDescent="0.25">
      <c r="A8" s="20">
        <v>539900</v>
      </c>
      <c r="B8" s="26" t="s">
        <v>22</v>
      </c>
      <c r="C8" s="66">
        <v>5000</v>
      </c>
      <c r="D8" s="207"/>
      <c r="E8" s="66">
        <f>SUM(C8:D8)</f>
        <v>5000</v>
      </c>
    </row>
    <row r="9" spans="1:5" x14ac:dyDescent="0.25">
      <c r="A9" s="6"/>
      <c r="B9" s="6" t="s">
        <v>4</v>
      </c>
      <c r="C9" s="65">
        <f>SUM(C8)</f>
        <v>5000</v>
      </c>
      <c r="D9" s="208">
        <f>SUM(D8)</f>
        <v>0</v>
      </c>
      <c r="E9" s="65">
        <f>SUM(E8)</f>
        <v>5000</v>
      </c>
    </row>
    <row r="10" spans="1:5" x14ac:dyDescent="0.25">
      <c r="A10" s="20"/>
      <c r="B10" s="26"/>
      <c r="C10" s="66"/>
      <c r="D10" s="207"/>
      <c r="E10" s="66"/>
    </row>
    <row r="11" spans="1:5" x14ac:dyDescent="0.25">
      <c r="A11" s="20">
        <v>543500</v>
      </c>
      <c r="B11" s="26" t="s">
        <v>6</v>
      </c>
      <c r="C11" s="66">
        <v>10200</v>
      </c>
      <c r="D11" s="207"/>
      <c r="E11" s="66">
        <f>SUM(C11:D11)</f>
        <v>10200</v>
      </c>
    </row>
    <row r="12" spans="1:5" x14ac:dyDescent="0.25">
      <c r="A12" s="20">
        <v>542950</v>
      </c>
      <c r="B12" s="26" t="s">
        <v>29</v>
      </c>
      <c r="C12" s="66">
        <v>20787</v>
      </c>
      <c r="D12" s="207"/>
      <c r="E12" s="66">
        <f>SUM(C12:D12)</f>
        <v>20787</v>
      </c>
    </row>
    <row r="13" spans="1:5" x14ac:dyDescent="0.25">
      <c r="A13" s="20">
        <v>542960</v>
      </c>
      <c r="B13" s="26" t="s">
        <v>148</v>
      </c>
      <c r="C13" s="66">
        <v>67845</v>
      </c>
      <c r="D13" s="207">
        <v>-12880</v>
      </c>
      <c r="E13" s="66">
        <f>SUM(C13:D13)</f>
        <v>54965</v>
      </c>
    </row>
    <row r="14" spans="1:5" x14ac:dyDescent="0.25">
      <c r="A14" s="20">
        <v>543100</v>
      </c>
      <c r="B14" s="26" t="s">
        <v>147</v>
      </c>
      <c r="C14" s="66">
        <v>4500</v>
      </c>
      <c r="D14" s="207"/>
      <c r="E14" s="66">
        <f>SUM(C14:D14)</f>
        <v>4500</v>
      </c>
    </row>
    <row r="15" spans="1:5" x14ac:dyDescent="0.25">
      <c r="A15" s="20">
        <v>544900</v>
      </c>
      <c r="B15" s="26" t="s">
        <v>30</v>
      </c>
      <c r="C15" s="66">
        <v>600</v>
      </c>
      <c r="D15" s="207"/>
      <c r="E15" s="66">
        <f>SUM(C15:D15)</f>
        <v>600</v>
      </c>
    </row>
    <row r="16" spans="1:5" x14ac:dyDescent="0.25">
      <c r="A16" s="16"/>
      <c r="B16" s="6" t="s">
        <v>9</v>
      </c>
      <c r="C16" s="65">
        <f>SUM(C11:C15)</f>
        <v>103932</v>
      </c>
      <c r="D16" s="208">
        <f>SUM(D11:D15)</f>
        <v>-12880</v>
      </c>
      <c r="E16" s="65">
        <f>SUM(E11:E15)</f>
        <v>91052</v>
      </c>
    </row>
    <row r="17" spans="1:5" x14ac:dyDescent="0.25">
      <c r="A17" s="27"/>
      <c r="B17" s="28"/>
      <c r="C17" s="64"/>
      <c r="D17" s="207"/>
      <c r="E17" s="64"/>
    </row>
    <row r="18" spans="1:5" ht="13.8" x14ac:dyDescent="0.25">
      <c r="A18" s="16"/>
      <c r="B18" s="24" t="s">
        <v>81</v>
      </c>
      <c r="C18" s="67">
        <f>SUM(C9+C16)</f>
        <v>108932</v>
      </c>
      <c r="D18" s="214">
        <f>SUM(D9+D16)</f>
        <v>-12880</v>
      </c>
      <c r="E18" s="67">
        <f>SUM(E9+E16)</f>
        <v>96052</v>
      </c>
    </row>
    <row r="19" spans="1:5" x14ac:dyDescent="0.25">
      <c r="A19" s="11"/>
      <c r="B19" s="9"/>
      <c r="C19" s="64"/>
      <c r="D19" s="207"/>
      <c r="E19" s="64"/>
    </row>
    <row r="20" spans="1:5" ht="13.8" x14ac:dyDescent="0.25">
      <c r="A20" s="63">
        <v>72204</v>
      </c>
      <c r="B20" s="45" t="s">
        <v>37</v>
      </c>
      <c r="C20" s="64"/>
      <c r="D20" s="207"/>
      <c r="E20" s="64"/>
    </row>
    <row r="21" spans="1:5" x14ac:dyDescent="0.25">
      <c r="A21" s="20">
        <v>519500</v>
      </c>
      <c r="B21" s="26" t="s">
        <v>110</v>
      </c>
      <c r="C21" s="66">
        <v>1250</v>
      </c>
      <c r="D21" s="207"/>
      <c r="E21" s="66">
        <f>SUM(C21:D21)</f>
        <v>1250</v>
      </c>
    </row>
    <row r="22" spans="1:5" x14ac:dyDescent="0.25">
      <c r="A22" s="6"/>
      <c r="B22" s="6" t="s">
        <v>102</v>
      </c>
      <c r="C22" s="65">
        <f>SUM(C21)</f>
        <v>1250</v>
      </c>
      <c r="D22" s="208">
        <f>SUM(D21)</f>
        <v>0</v>
      </c>
      <c r="E22" s="65">
        <f>SUM(E21)</f>
        <v>1250</v>
      </c>
    </row>
    <row r="23" spans="1:5" x14ac:dyDescent="0.25">
      <c r="A23" s="20"/>
      <c r="B23" s="26"/>
      <c r="C23" s="66"/>
      <c r="D23" s="207"/>
      <c r="E23" s="66"/>
    </row>
    <row r="24" spans="1:5" x14ac:dyDescent="0.25">
      <c r="A24" s="20">
        <v>520100</v>
      </c>
      <c r="B24" s="26" t="s">
        <v>15</v>
      </c>
      <c r="C24" s="66">
        <v>191</v>
      </c>
      <c r="D24" s="207"/>
      <c r="E24" s="66">
        <f>SUM(C24:D24)</f>
        <v>191</v>
      </c>
    </row>
    <row r="25" spans="1:5" x14ac:dyDescent="0.25">
      <c r="A25" s="6"/>
      <c r="B25" s="6" t="s">
        <v>111</v>
      </c>
      <c r="C25" s="65">
        <f>SUM(C24)</f>
        <v>191</v>
      </c>
      <c r="D25" s="208">
        <f>SUM(D24)</f>
        <v>0</v>
      </c>
      <c r="E25" s="65">
        <f>SUM(E24)</f>
        <v>191</v>
      </c>
    </row>
    <row r="26" spans="1:5" x14ac:dyDescent="0.25">
      <c r="A26" s="20"/>
      <c r="B26" s="26"/>
      <c r="C26" s="66"/>
      <c r="D26" s="207"/>
      <c r="E26" s="66"/>
    </row>
    <row r="27" spans="1:5" x14ac:dyDescent="0.25">
      <c r="A27" s="20">
        <v>532000</v>
      </c>
      <c r="B27" s="26" t="s">
        <v>94</v>
      </c>
      <c r="C27" s="66">
        <v>500</v>
      </c>
      <c r="D27" s="207"/>
      <c r="E27" s="66">
        <f>SUM(C27:D27)</f>
        <v>500</v>
      </c>
    </row>
    <row r="28" spans="1:5" x14ac:dyDescent="0.25">
      <c r="A28" s="6"/>
      <c r="B28" s="6" t="s">
        <v>4</v>
      </c>
      <c r="C28" s="65">
        <f>SUM(C27:C27)</f>
        <v>500</v>
      </c>
      <c r="D28" s="208">
        <f>SUM(D27:D27)</f>
        <v>0</v>
      </c>
      <c r="E28" s="65">
        <f>SUM(E27:E27)</f>
        <v>500</v>
      </c>
    </row>
    <row r="29" spans="1:5" x14ac:dyDescent="0.25">
      <c r="A29" s="20"/>
      <c r="B29" s="26"/>
      <c r="C29" s="66"/>
      <c r="D29" s="207"/>
      <c r="E29" s="66"/>
    </row>
    <row r="30" spans="1:5" x14ac:dyDescent="0.25">
      <c r="A30" s="20">
        <v>543500</v>
      </c>
      <c r="B30" s="26" t="s">
        <v>6</v>
      </c>
      <c r="C30" s="66">
        <v>3938</v>
      </c>
      <c r="D30" s="207"/>
      <c r="E30" s="66">
        <f>SUM(C30:D30)</f>
        <v>3938</v>
      </c>
    </row>
    <row r="31" spans="1:5" x14ac:dyDescent="0.25">
      <c r="A31" s="6"/>
      <c r="B31" s="6" t="s">
        <v>9</v>
      </c>
      <c r="C31" s="65">
        <f>SUM(C30)</f>
        <v>3938</v>
      </c>
      <c r="D31" s="208">
        <f>SUM(D30)</f>
        <v>0</v>
      </c>
      <c r="E31" s="65">
        <f>SUM(E30)</f>
        <v>3938</v>
      </c>
    </row>
    <row r="32" spans="1:5" x14ac:dyDescent="0.25">
      <c r="A32" s="6"/>
      <c r="B32" s="6"/>
      <c r="C32" s="66"/>
      <c r="D32" s="207"/>
      <c r="E32" s="66"/>
    </row>
    <row r="33" spans="1:5" x14ac:dyDescent="0.25">
      <c r="A33" s="20">
        <v>552400</v>
      </c>
      <c r="B33" s="26" t="s">
        <v>11</v>
      </c>
      <c r="C33" s="66">
        <v>7272</v>
      </c>
      <c r="D33" s="207"/>
      <c r="E33" s="66">
        <f>SUM(C33:D33)</f>
        <v>7272</v>
      </c>
    </row>
    <row r="34" spans="1:5" x14ac:dyDescent="0.25">
      <c r="A34" s="17"/>
      <c r="B34" s="6" t="s">
        <v>12</v>
      </c>
      <c r="C34" s="65">
        <f>SUM(C33)</f>
        <v>7272</v>
      </c>
      <c r="D34" s="208">
        <f>SUM(D33)</f>
        <v>0</v>
      </c>
      <c r="E34" s="65">
        <f>SUM(E33)</f>
        <v>7272</v>
      </c>
    </row>
    <row r="35" spans="1:5" x14ac:dyDescent="0.25">
      <c r="A35" s="9"/>
      <c r="B35" s="9"/>
      <c r="C35" s="64"/>
      <c r="D35" s="207"/>
      <c r="E35" s="64"/>
    </row>
    <row r="36" spans="1:5" ht="13.8" x14ac:dyDescent="0.25">
      <c r="A36" s="9"/>
      <c r="B36" s="24" t="s">
        <v>82</v>
      </c>
      <c r="C36" s="67">
        <f>SUM(C22+C25+C28+C31+C34)</f>
        <v>13151</v>
      </c>
      <c r="D36" s="214">
        <f>SUM(D22+D25+D28+D31+D34)</f>
        <v>0</v>
      </c>
      <c r="E36" s="67">
        <f>SUM(E22+E25+E28+E31+E34)</f>
        <v>13151</v>
      </c>
    </row>
    <row r="37" spans="1:5" ht="13.8" x14ac:dyDescent="0.25">
      <c r="A37" s="9"/>
      <c r="B37" s="24"/>
      <c r="C37" s="67"/>
      <c r="D37" s="214"/>
      <c r="E37" s="67"/>
    </row>
    <row r="38" spans="1:5" x14ac:dyDescent="0.25">
      <c r="A38" s="9"/>
      <c r="B38" s="9"/>
      <c r="C38" s="64"/>
      <c r="D38" s="207"/>
      <c r="E38" s="64"/>
    </row>
    <row r="39" spans="1:5" s="23" customFormat="1" ht="15.6" x14ac:dyDescent="0.3">
      <c r="A39" s="12" t="s">
        <v>149</v>
      </c>
      <c r="B39" s="12"/>
      <c r="C39" s="70">
        <f>SUM(C36+C18)</f>
        <v>122083</v>
      </c>
      <c r="D39" s="209">
        <f>SUM(D36+D18)</f>
        <v>-12880</v>
      </c>
      <c r="E39" s="70">
        <f>SUM(E36+E18)</f>
        <v>109203</v>
      </c>
    </row>
  </sheetData>
  <mergeCells count="1">
    <mergeCell ref="A4:B4"/>
  </mergeCells>
  <phoneticPr fontId="0" type="noConversion"/>
  <printOptions horizontalCentered="1"/>
  <pageMargins left="0.75" right="0.75" top="1" bottom="1" header="0.5" footer="0.5"/>
  <pageSetup scale="77" firstPageNumber="20" orientation="portrait" useFirstPageNumber="1" r:id="rId1"/>
  <headerFooter alignWithMargins="0">
    <oddFooter>&amp;C&amp;"Arial,Bold"&amp;P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E31"/>
  <sheetViews>
    <sheetView workbookViewId="0">
      <selection activeCell="A3" sqref="A3"/>
    </sheetView>
  </sheetViews>
  <sheetFormatPr defaultRowHeight="13.2" x14ac:dyDescent="0.25"/>
  <cols>
    <col min="1" max="1" width="11.6640625" customWidth="1"/>
    <col min="2" max="2" width="52.6640625" customWidth="1"/>
    <col min="3" max="3" width="17.6640625" customWidth="1"/>
    <col min="4" max="4" width="17.6640625" style="210" customWidth="1"/>
    <col min="5" max="6" width="17.6640625" customWidth="1"/>
  </cols>
  <sheetData>
    <row r="1" spans="1:5" ht="15.6" x14ac:dyDescent="0.3">
      <c r="A1" s="5" t="s">
        <v>261</v>
      </c>
    </row>
    <row r="2" spans="1:5" ht="15.6" x14ac:dyDescent="0.3">
      <c r="A2" s="5" t="s">
        <v>510</v>
      </c>
    </row>
    <row r="3" spans="1:5" ht="13.8" thickBot="1" x14ac:dyDescent="0.3"/>
    <row r="4" spans="1:5" ht="15.6" x14ac:dyDescent="0.3">
      <c r="A4" s="413" t="s">
        <v>27</v>
      </c>
      <c r="B4" s="414"/>
      <c r="C4" s="94" t="s">
        <v>483</v>
      </c>
      <c r="D4" s="356"/>
      <c r="E4" s="362" t="s">
        <v>511</v>
      </c>
    </row>
    <row r="5" spans="1:5" ht="15.6" x14ac:dyDescent="0.3">
      <c r="A5" s="60"/>
      <c r="B5" s="61"/>
      <c r="C5" s="93" t="s">
        <v>345</v>
      </c>
      <c r="D5" s="358"/>
      <c r="E5" s="363" t="s">
        <v>342</v>
      </c>
    </row>
    <row r="6" spans="1:5" ht="16.2" thickBot="1" x14ac:dyDescent="0.35">
      <c r="A6" s="13"/>
      <c r="B6" s="14"/>
      <c r="C6" s="14" t="s">
        <v>290</v>
      </c>
      <c r="D6" s="360" t="s">
        <v>493</v>
      </c>
      <c r="E6" s="364" t="s">
        <v>290</v>
      </c>
    </row>
    <row r="7" spans="1:5" ht="13.8" x14ac:dyDescent="0.25">
      <c r="A7" s="62">
        <v>71117</v>
      </c>
      <c r="B7" s="78" t="s">
        <v>32</v>
      </c>
      <c r="C7" s="25"/>
      <c r="D7" s="213"/>
      <c r="E7" s="25"/>
    </row>
    <row r="8" spans="1:5" x14ac:dyDescent="0.25">
      <c r="A8" s="57">
        <v>543500</v>
      </c>
      <c r="B8" s="9" t="s">
        <v>6</v>
      </c>
      <c r="C8" s="64">
        <v>11017</v>
      </c>
      <c r="D8" s="64"/>
      <c r="E8" s="64">
        <f t="shared" ref="E8:E13" si="0">SUM(C8:D8)</f>
        <v>11017</v>
      </c>
    </row>
    <row r="9" spans="1:5" x14ac:dyDescent="0.25">
      <c r="A9" s="57">
        <v>542900</v>
      </c>
      <c r="B9" s="9" t="s">
        <v>28</v>
      </c>
      <c r="C9" s="64">
        <v>20453</v>
      </c>
      <c r="D9" s="64"/>
      <c r="E9" s="64">
        <f t="shared" si="0"/>
        <v>20453</v>
      </c>
    </row>
    <row r="10" spans="1:5" x14ac:dyDescent="0.25">
      <c r="A10" s="57">
        <v>542950</v>
      </c>
      <c r="B10" s="9" t="s">
        <v>29</v>
      </c>
      <c r="C10" s="64">
        <v>141</v>
      </c>
      <c r="D10" s="64"/>
      <c r="E10" s="64">
        <f t="shared" si="0"/>
        <v>141</v>
      </c>
    </row>
    <row r="11" spans="1:5" x14ac:dyDescent="0.25">
      <c r="A11" s="57">
        <v>544900</v>
      </c>
      <c r="B11" s="9" t="s">
        <v>30</v>
      </c>
      <c r="C11" s="64">
        <v>940</v>
      </c>
      <c r="D11" s="64"/>
      <c r="E11" s="64">
        <f t="shared" si="0"/>
        <v>940</v>
      </c>
    </row>
    <row r="12" spans="1:5" x14ac:dyDescent="0.25">
      <c r="A12" s="57">
        <v>543200</v>
      </c>
      <c r="B12" s="9" t="s">
        <v>8</v>
      </c>
      <c r="C12" s="64">
        <v>140</v>
      </c>
      <c r="D12" s="64"/>
      <c r="E12" s="64">
        <f t="shared" si="0"/>
        <v>140</v>
      </c>
    </row>
    <row r="13" spans="1:5" x14ac:dyDescent="0.25">
      <c r="A13" s="57">
        <v>542960</v>
      </c>
      <c r="B13" s="9" t="s">
        <v>31</v>
      </c>
      <c r="C13" s="64">
        <v>10340</v>
      </c>
      <c r="D13" s="64"/>
      <c r="E13" s="64">
        <f t="shared" si="0"/>
        <v>10340</v>
      </c>
    </row>
    <row r="14" spans="1:5" s="1" customFormat="1" x14ac:dyDescent="0.25">
      <c r="A14" s="6"/>
      <c r="B14" s="6" t="s">
        <v>9</v>
      </c>
      <c r="C14" s="65">
        <f>SUM(C8:C13)</f>
        <v>43031</v>
      </c>
      <c r="D14" s="65">
        <f>SUM(D8:D13)</f>
        <v>0</v>
      </c>
      <c r="E14" s="65">
        <f>SUM(E8:E13)</f>
        <v>43031</v>
      </c>
    </row>
    <row r="15" spans="1:5" s="1" customFormat="1" x14ac:dyDescent="0.25">
      <c r="A15" s="10"/>
      <c r="B15" s="6"/>
      <c r="C15" s="65"/>
      <c r="D15" s="65"/>
      <c r="E15" s="65"/>
    </row>
    <row r="16" spans="1:5" s="1" customFormat="1" ht="13.8" x14ac:dyDescent="0.25">
      <c r="A16" s="10"/>
      <c r="B16" s="45" t="s">
        <v>81</v>
      </c>
      <c r="C16" s="67">
        <f>SUM(C14)</f>
        <v>43031</v>
      </c>
      <c r="D16" s="67">
        <f>SUM(D14)</f>
        <v>0</v>
      </c>
      <c r="E16" s="67">
        <f>SUM(E14)</f>
        <v>43031</v>
      </c>
    </row>
    <row r="17" spans="1:5" x14ac:dyDescent="0.25">
      <c r="A17" s="9"/>
      <c r="B17" s="9"/>
      <c r="C17" s="64"/>
      <c r="D17" s="64"/>
      <c r="E17" s="64"/>
    </row>
    <row r="18" spans="1:5" ht="13.8" x14ac:dyDescent="0.25">
      <c r="A18" s="63">
        <v>72205</v>
      </c>
      <c r="B18" s="45" t="s">
        <v>37</v>
      </c>
      <c r="C18" s="64"/>
      <c r="D18" s="64"/>
      <c r="E18" s="64"/>
    </row>
    <row r="19" spans="1:5" x14ac:dyDescent="0.25">
      <c r="A19" s="57">
        <v>519500</v>
      </c>
      <c r="B19" s="8" t="s">
        <v>33</v>
      </c>
      <c r="C19" s="64">
        <v>2820</v>
      </c>
      <c r="D19" s="64"/>
      <c r="E19" s="64">
        <f>SUM(C19:D19)</f>
        <v>2820</v>
      </c>
    </row>
    <row r="20" spans="1:5" x14ac:dyDescent="0.25">
      <c r="A20" s="57"/>
      <c r="B20" s="6" t="s">
        <v>102</v>
      </c>
      <c r="C20" s="65">
        <f>SUM(C19)</f>
        <v>2820</v>
      </c>
      <c r="D20" s="65">
        <f>SUM(D19)</f>
        <v>0</v>
      </c>
      <c r="E20" s="65">
        <f>SUM(E19)</f>
        <v>2820</v>
      </c>
    </row>
    <row r="21" spans="1:5" x14ac:dyDescent="0.25">
      <c r="A21" s="57"/>
      <c r="B21" s="9"/>
      <c r="C21" s="64"/>
      <c r="D21" s="64"/>
      <c r="E21" s="64"/>
    </row>
    <row r="22" spans="1:5" x14ac:dyDescent="0.25">
      <c r="A22" s="57">
        <v>520100</v>
      </c>
      <c r="B22" s="9" t="s">
        <v>15</v>
      </c>
      <c r="C22" s="64">
        <v>216</v>
      </c>
      <c r="D22" s="64"/>
      <c r="E22" s="64">
        <f>SUM(C22:D22)</f>
        <v>216</v>
      </c>
    </row>
    <row r="23" spans="1:5" s="1" customFormat="1" x14ac:dyDescent="0.25">
      <c r="A23" s="6"/>
      <c r="B23" s="6" t="s">
        <v>111</v>
      </c>
      <c r="C23" s="65">
        <f>SUM(C22)</f>
        <v>216</v>
      </c>
      <c r="D23" s="65">
        <f>SUM(D22)</f>
        <v>0</v>
      </c>
      <c r="E23" s="65">
        <f>SUM(E22)</f>
        <v>216</v>
      </c>
    </row>
    <row r="24" spans="1:5" ht="12.75" customHeight="1" x14ac:dyDescent="0.25">
      <c r="A24" s="57"/>
      <c r="B24" s="9"/>
      <c r="C24" s="64"/>
      <c r="D24" s="64"/>
      <c r="E24" s="64"/>
    </row>
    <row r="25" spans="1:5" x14ac:dyDescent="0.25">
      <c r="A25" s="57">
        <v>552400</v>
      </c>
      <c r="B25" s="26" t="s">
        <v>337</v>
      </c>
      <c r="C25" s="64">
        <v>493</v>
      </c>
      <c r="D25" s="64"/>
      <c r="E25" s="64">
        <f>SUM(C25:D25)</f>
        <v>493</v>
      </c>
    </row>
    <row r="26" spans="1:5" s="1" customFormat="1" x14ac:dyDescent="0.25">
      <c r="A26" s="6"/>
      <c r="B26" s="6" t="s">
        <v>34</v>
      </c>
      <c r="C26" s="65">
        <f>SUM(C25)</f>
        <v>493</v>
      </c>
      <c r="D26" s="65">
        <f>SUM(D25)</f>
        <v>0</v>
      </c>
      <c r="E26" s="65">
        <f>SUM(E25)</f>
        <v>493</v>
      </c>
    </row>
    <row r="27" spans="1:5" x14ac:dyDescent="0.25">
      <c r="A27" s="57"/>
      <c r="B27" s="9"/>
      <c r="C27" s="64"/>
      <c r="D27" s="64"/>
      <c r="E27" s="64"/>
    </row>
    <row r="28" spans="1:5" s="1" customFormat="1" ht="13.8" x14ac:dyDescent="0.25">
      <c r="A28" s="57"/>
      <c r="B28" s="24" t="s">
        <v>82</v>
      </c>
      <c r="C28" s="67">
        <f>+C26+C23+C20</f>
        <v>3529</v>
      </c>
      <c r="D28" s="67">
        <f>+D26+D23+D20</f>
        <v>0</v>
      </c>
      <c r="E28" s="67">
        <f>+E26+E23+E20</f>
        <v>3529</v>
      </c>
    </row>
    <row r="29" spans="1:5" x14ac:dyDescent="0.25">
      <c r="A29" s="57"/>
      <c r="B29" s="9"/>
      <c r="C29" s="64"/>
      <c r="D29" s="64"/>
      <c r="E29" s="64"/>
    </row>
    <row r="30" spans="1:5" x14ac:dyDescent="0.25">
      <c r="A30" s="57"/>
      <c r="B30" s="9"/>
      <c r="C30" s="64"/>
      <c r="D30" s="64"/>
      <c r="E30" s="64"/>
    </row>
    <row r="31" spans="1:5" s="23" customFormat="1" ht="15.6" x14ac:dyDescent="0.3">
      <c r="A31" s="12" t="s">
        <v>35</v>
      </c>
      <c r="B31" s="12"/>
      <c r="C31" s="70">
        <f>SUM(C14+C28)</f>
        <v>46560</v>
      </c>
      <c r="D31" s="70">
        <f>SUM(D14+D28)</f>
        <v>0</v>
      </c>
      <c r="E31" s="70">
        <f>SUM(E14+E28)</f>
        <v>46560</v>
      </c>
    </row>
  </sheetData>
  <mergeCells count="1">
    <mergeCell ref="A4:B4"/>
  </mergeCells>
  <phoneticPr fontId="0" type="noConversion"/>
  <printOptions horizontalCentered="1"/>
  <pageMargins left="0.75" right="0.75" top="1" bottom="1" header="0.5" footer="0.5"/>
  <pageSetup scale="77" firstPageNumber="21" orientation="portrait" useFirstPageNumber="1" r:id="rId1"/>
  <headerFooter alignWithMargins="0">
    <oddFooter>&amp;C&amp;"Arial,Bold"&amp;P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E31"/>
  <sheetViews>
    <sheetView workbookViewId="0">
      <selection activeCell="A3" sqref="A3"/>
    </sheetView>
  </sheetViews>
  <sheetFormatPr defaultRowHeight="13.2" x14ac:dyDescent="0.25"/>
  <cols>
    <col min="1" max="1" width="11.6640625" customWidth="1"/>
    <col min="2" max="2" width="52.6640625" customWidth="1"/>
    <col min="3" max="3" width="17.6640625" customWidth="1"/>
    <col min="4" max="4" width="17.6640625" style="215" customWidth="1"/>
    <col min="5" max="5" width="17.6640625" customWidth="1"/>
  </cols>
  <sheetData>
    <row r="1" spans="1:5" ht="15.6" x14ac:dyDescent="0.3">
      <c r="A1" s="5" t="s">
        <v>261</v>
      </c>
    </row>
    <row r="2" spans="1:5" ht="15.6" x14ac:dyDescent="0.3">
      <c r="A2" s="5" t="s">
        <v>510</v>
      </c>
    </row>
    <row r="3" spans="1:5" ht="13.8" thickBot="1" x14ac:dyDescent="0.3"/>
    <row r="4" spans="1:5" ht="15.6" x14ac:dyDescent="0.3">
      <c r="A4" s="413" t="s">
        <v>346</v>
      </c>
      <c r="B4" s="414"/>
      <c r="C4" s="94" t="s">
        <v>483</v>
      </c>
      <c r="D4" s="356"/>
      <c r="E4" s="362" t="s">
        <v>511</v>
      </c>
    </row>
    <row r="5" spans="1:5" ht="15.6" x14ac:dyDescent="0.3">
      <c r="A5" s="60"/>
      <c r="B5" s="61"/>
      <c r="C5" s="93" t="s">
        <v>345</v>
      </c>
      <c r="D5" s="358"/>
      <c r="E5" s="363" t="s">
        <v>342</v>
      </c>
    </row>
    <row r="6" spans="1:5" ht="16.2" thickBot="1" x14ac:dyDescent="0.35">
      <c r="A6" s="13"/>
      <c r="B6" s="14"/>
      <c r="C6" s="14" t="s">
        <v>290</v>
      </c>
      <c r="D6" s="360" t="s">
        <v>493</v>
      </c>
      <c r="E6" s="364" t="s">
        <v>290</v>
      </c>
    </row>
    <row r="7" spans="1:5" ht="13.8" x14ac:dyDescent="0.25">
      <c r="A7" s="62">
        <v>71118</v>
      </c>
      <c r="B7" s="78" t="s">
        <v>32</v>
      </c>
      <c r="C7" s="25"/>
      <c r="D7" s="216"/>
      <c r="E7" s="25"/>
    </row>
    <row r="8" spans="1:5" s="1" customFormat="1" x14ac:dyDescent="0.25">
      <c r="A8" s="20">
        <v>535500</v>
      </c>
      <c r="B8" s="8" t="s">
        <v>2</v>
      </c>
      <c r="C8" s="64">
        <v>3739</v>
      </c>
      <c r="D8" s="207"/>
      <c r="E8" s="64">
        <f>SUM(C8:D8)</f>
        <v>3739</v>
      </c>
    </row>
    <row r="9" spans="1:5" s="1" customFormat="1" x14ac:dyDescent="0.25">
      <c r="A9" s="6"/>
      <c r="B9" s="6" t="s">
        <v>4</v>
      </c>
      <c r="C9" s="65">
        <f>SUM(C8:C8)</f>
        <v>3739</v>
      </c>
      <c r="D9" s="208">
        <f>SUM(D8:D8)</f>
        <v>0</v>
      </c>
      <c r="E9" s="65">
        <f>SUM(E8:E8)</f>
        <v>3739</v>
      </c>
    </row>
    <row r="10" spans="1:5" x14ac:dyDescent="0.25">
      <c r="A10" s="57"/>
      <c r="B10" s="9"/>
      <c r="C10" s="64"/>
      <c r="D10" s="207"/>
      <c r="E10" s="64"/>
    </row>
    <row r="11" spans="1:5" x14ac:dyDescent="0.25">
      <c r="A11" s="57">
        <v>543500</v>
      </c>
      <c r="B11" s="9" t="s">
        <v>6</v>
      </c>
      <c r="C11" s="64">
        <v>5894</v>
      </c>
      <c r="D11" s="207"/>
      <c r="E11" s="64">
        <f>SUM(C11:D11)</f>
        <v>5894</v>
      </c>
    </row>
    <row r="12" spans="1:5" x14ac:dyDescent="0.25">
      <c r="A12" s="57">
        <v>542900</v>
      </c>
      <c r="B12" s="9" t="s">
        <v>28</v>
      </c>
      <c r="C12" s="64">
        <v>7000</v>
      </c>
      <c r="D12" s="207"/>
      <c r="E12" s="64">
        <f>SUM(C12:D12)</f>
        <v>7000</v>
      </c>
    </row>
    <row r="13" spans="1:5" s="1" customFormat="1" x14ac:dyDescent="0.25">
      <c r="A13" s="6"/>
      <c r="B13" s="6" t="s">
        <v>9</v>
      </c>
      <c r="C13" s="65">
        <f>SUM(C11:C12)</f>
        <v>12894</v>
      </c>
      <c r="D13" s="208">
        <f>SUM(D11:D12)</f>
        <v>0</v>
      </c>
      <c r="E13" s="65">
        <f>SUM(E11:E12)</f>
        <v>12894</v>
      </c>
    </row>
    <row r="14" spans="1:5" x14ac:dyDescent="0.25">
      <c r="A14" s="57"/>
      <c r="B14" s="9"/>
      <c r="C14" s="64"/>
      <c r="D14" s="207"/>
      <c r="E14" s="64"/>
    </row>
    <row r="15" spans="1:5" x14ac:dyDescent="0.25">
      <c r="A15" s="57" t="s">
        <v>10</v>
      </c>
      <c r="B15" s="9" t="s">
        <v>11</v>
      </c>
      <c r="C15" s="64">
        <v>2244</v>
      </c>
      <c r="D15" s="207"/>
      <c r="E15" s="64">
        <f>SUM(C15:D15)</f>
        <v>2244</v>
      </c>
    </row>
    <row r="16" spans="1:5" s="1" customFormat="1" x14ac:dyDescent="0.25">
      <c r="A16" s="10"/>
      <c r="B16" s="6" t="s">
        <v>12</v>
      </c>
      <c r="C16" s="65">
        <f>SUM(C15)</f>
        <v>2244</v>
      </c>
      <c r="D16" s="208">
        <f>SUM(D15)</f>
        <v>0</v>
      </c>
      <c r="E16" s="65">
        <f>SUM(E15)</f>
        <v>2244</v>
      </c>
    </row>
    <row r="17" spans="1:5" x14ac:dyDescent="0.25">
      <c r="A17" s="9"/>
      <c r="B17" s="9"/>
      <c r="C17" s="64"/>
      <c r="D17" s="207"/>
      <c r="E17" s="64"/>
    </row>
    <row r="18" spans="1:5" s="1" customFormat="1" ht="13.8" x14ac:dyDescent="0.25">
      <c r="A18" s="10"/>
      <c r="B18" s="24" t="s">
        <v>81</v>
      </c>
      <c r="C18" s="67">
        <f>SUM(+C13+C9+C16)</f>
        <v>18877</v>
      </c>
      <c r="D18" s="214">
        <f>SUM(+D13+D9+D16)</f>
        <v>0</v>
      </c>
      <c r="E18" s="67">
        <f>SUM(+E13+E9+E16)</f>
        <v>18877</v>
      </c>
    </row>
    <row r="19" spans="1:5" x14ac:dyDescent="0.25">
      <c r="A19" s="9"/>
      <c r="B19" s="9"/>
      <c r="C19" s="64"/>
      <c r="D19" s="207"/>
      <c r="E19" s="64"/>
    </row>
    <row r="20" spans="1:5" s="3" customFormat="1" ht="13.8" x14ac:dyDescent="0.25">
      <c r="A20" s="63">
        <v>72206</v>
      </c>
      <c r="B20" s="45" t="s">
        <v>37</v>
      </c>
      <c r="C20" s="68"/>
      <c r="D20" s="221"/>
      <c r="E20" s="68"/>
    </row>
    <row r="21" spans="1:5" x14ac:dyDescent="0.25">
      <c r="A21" s="57">
        <v>535500</v>
      </c>
      <c r="B21" s="9" t="s">
        <v>2</v>
      </c>
      <c r="C21" s="64">
        <v>1000</v>
      </c>
      <c r="D21" s="207"/>
      <c r="E21" s="64">
        <f>SUM(C21:D21)</f>
        <v>1000</v>
      </c>
    </row>
    <row r="22" spans="1:5" s="1" customFormat="1" x14ac:dyDescent="0.25">
      <c r="A22" s="6"/>
      <c r="B22" s="6" t="s">
        <v>4</v>
      </c>
      <c r="C22" s="65">
        <f>SUM(C21)</f>
        <v>1000</v>
      </c>
      <c r="D22" s="208">
        <f>SUM(D21)</f>
        <v>0</v>
      </c>
      <c r="E22" s="65">
        <f>SUM(E21)</f>
        <v>1000</v>
      </c>
    </row>
    <row r="23" spans="1:5" x14ac:dyDescent="0.25">
      <c r="A23" s="57"/>
      <c r="B23" s="9"/>
      <c r="C23" s="64"/>
      <c r="D23" s="207"/>
      <c r="E23" s="64"/>
    </row>
    <row r="24" spans="1:5" x14ac:dyDescent="0.25">
      <c r="A24" s="57">
        <v>543500</v>
      </c>
      <c r="B24" s="9" t="s">
        <v>6</v>
      </c>
      <c r="C24" s="64">
        <v>5000</v>
      </c>
      <c r="D24" s="207"/>
      <c r="E24" s="64">
        <f>SUM(C24:D24)</f>
        <v>5000</v>
      </c>
    </row>
    <row r="25" spans="1:5" x14ac:dyDescent="0.25">
      <c r="A25" s="57">
        <v>542900</v>
      </c>
      <c r="B25" s="9" t="s">
        <v>28</v>
      </c>
      <c r="C25" s="64">
        <v>2000</v>
      </c>
      <c r="D25" s="207"/>
      <c r="E25" s="64">
        <f>SUM(C25:D25)</f>
        <v>2000</v>
      </c>
    </row>
    <row r="26" spans="1:5" s="1" customFormat="1" x14ac:dyDescent="0.25">
      <c r="A26" s="6"/>
      <c r="B26" s="6" t="s">
        <v>9</v>
      </c>
      <c r="C26" s="65">
        <f>SUM(C24:C25)</f>
        <v>7000</v>
      </c>
      <c r="D26" s="208">
        <f>SUM(D24:D25)</f>
        <v>0</v>
      </c>
      <c r="E26" s="65">
        <f>SUM(E24:E25)</f>
        <v>7000</v>
      </c>
    </row>
    <row r="27" spans="1:5" x14ac:dyDescent="0.25">
      <c r="A27" s="57"/>
      <c r="B27" s="9"/>
      <c r="C27" s="64"/>
      <c r="D27" s="207"/>
      <c r="E27" s="64"/>
    </row>
    <row r="28" spans="1:5" s="1" customFormat="1" ht="13.8" x14ac:dyDescent="0.25">
      <c r="A28" s="10"/>
      <c r="B28" s="24" t="s">
        <v>82</v>
      </c>
      <c r="C28" s="67">
        <f>SUM(C22+C26)</f>
        <v>8000</v>
      </c>
      <c r="D28" s="214">
        <f>SUM(D22+D26)</f>
        <v>0</v>
      </c>
      <c r="E28" s="67">
        <f>SUM(E22+E26)</f>
        <v>8000</v>
      </c>
    </row>
    <row r="29" spans="1:5" x14ac:dyDescent="0.25">
      <c r="A29" s="9"/>
      <c r="B29" s="9"/>
      <c r="C29" s="64"/>
      <c r="D29" s="207"/>
      <c r="E29" s="64"/>
    </row>
    <row r="30" spans="1:5" x14ac:dyDescent="0.25">
      <c r="A30" s="9"/>
      <c r="B30" s="9"/>
      <c r="C30" s="64"/>
      <c r="D30" s="207"/>
      <c r="E30" s="64"/>
    </row>
    <row r="31" spans="1:5" s="23" customFormat="1" ht="15.6" x14ac:dyDescent="0.3">
      <c r="A31" s="12" t="s">
        <v>448</v>
      </c>
      <c r="B31" s="12"/>
      <c r="C31" s="70">
        <f>SUM(C18+C28)</f>
        <v>26877</v>
      </c>
      <c r="D31" s="209">
        <f>SUM(D18+D28)</f>
        <v>0</v>
      </c>
      <c r="E31" s="70">
        <f>SUM(E18+E28)</f>
        <v>26877</v>
      </c>
    </row>
  </sheetData>
  <mergeCells count="1">
    <mergeCell ref="A4:B4"/>
  </mergeCells>
  <phoneticPr fontId="0" type="noConversion"/>
  <printOptions horizontalCentered="1"/>
  <pageMargins left="0.75" right="0.75" top="1" bottom="1" header="0.5" footer="0.5"/>
  <pageSetup scale="77" firstPageNumber="22" orientation="portrait" useFirstPageNumber="1" r:id="rId1"/>
  <headerFooter alignWithMargins="0">
    <oddFooter>&amp;C&amp;"Arial,Bold"&amp;P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E33"/>
  <sheetViews>
    <sheetView workbookViewId="0">
      <selection activeCell="D45" sqref="D45"/>
    </sheetView>
  </sheetViews>
  <sheetFormatPr defaultRowHeight="13.2" x14ac:dyDescent="0.25"/>
  <cols>
    <col min="1" max="1" width="11.6640625" customWidth="1"/>
    <col min="2" max="2" width="52.6640625" customWidth="1"/>
    <col min="3" max="3" width="17.6640625" customWidth="1"/>
    <col min="4" max="4" width="17.6640625" style="210" customWidth="1"/>
    <col min="5" max="6" width="17.6640625" customWidth="1"/>
  </cols>
  <sheetData>
    <row r="1" spans="1:5" ht="15.6" x14ac:dyDescent="0.3">
      <c r="A1" s="5" t="s">
        <v>261</v>
      </c>
    </row>
    <row r="2" spans="1:5" ht="15.6" x14ac:dyDescent="0.3">
      <c r="A2" s="5" t="s">
        <v>510</v>
      </c>
    </row>
    <row r="3" spans="1:5" ht="13.8" thickBot="1" x14ac:dyDescent="0.3"/>
    <row r="4" spans="1:5" ht="15.6" x14ac:dyDescent="0.3">
      <c r="A4" s="413" t="s">
        <v>170</v>
      </c>
      <c r="B4" s="414"/>
      <c r="C4" s="94" t="s">
        <v>483</v>
      </c>
      <c r="D4" s="356"/>
      <c r="E4" s="362" t="s">
        <v>511</v>
      </c>
    </row>
    <row r="5" spans="1:5" ht="15.6" x14ac:dyDescent="0.3">
      <c r="A5" s="60"/>
      <c r="B5" s="61"/>
      <c r="C5" s="93" t="s">
        <v>345</v>
      </c>
      <c r="D5" s="358"/>
      <c r="E5" s="363" t="s">
        <v>342</v>
      </c>
    </row>
    <row r="6" spans="1:5" ht="16.2" thickBot="1" x14ac:dyDescent="0.35">
      <c r="A6" s="13"/>
      <c r="B6" s="14"/>
      <c r="C6" s="14" t="s">
        <v>290</v>
      </c>
      <c r="D6" s="360" t="s">
        <v>493</v>
      </c>
      <c r="E6" s="364" t="s">
        <v>290</v>
      </c>
    </row>
    <row r="7" spans="1:5" ht="13.8" x14ac:dyDescent="0.25">
      <c r="A7" s="62">
        <v>71119</v>
      </c>
      <c r="B7" s="78" t="s">
        <v>32</v>
      </c>
      <c r="C7" s="25"/>
      <c r="D7" s="213"/>
      <c r="E7" s="25"/>
    </row>
    <row r="8" spans="1:5" x14ac:dyDescent="0.25">
      <c r="A8" s="71">
        <v>530800</v>
      </c>
      <c r="B8" s="42" t="s">
        <v>52</v>
      </c>
      <c r="C8" s="64">
        <v>3200</v>
      </c>
      <c r="D8" s="64"/>
      <c r="E8" s="64">
        <f>SUM(C8:D8)</f>
        <v>3200</v>
      </c>
    </row>
    <row r="9" spans="1:5" x14ac:dyDescent="0.25">
      <c r="A9" s="71">
        <v>533600</v>
      </c>
      <c r="B9" s="9" t="s">
        <v>295</v>
      </c>
      <c r="C9" s="64">
        <v>2500</v>
      </c>
      <c r="D9" s="64"/>
      <c r="E9" s="64">
        <f>SUM(C9:D9)</f>
        <v>2500</v>
      </c>
    </row>
    <row r="10" spans="1:5" x14ac:dyDescent="0.25">
      <c r="A10" s="43"/>
      <c r="B10" s="43" t="s">
        <v>4</v>
      </c>
      <c r="C10" s="65">
        <f>SUM(C8:C9)</f>
        <v>5700</v>
      </c>
      <c r="D10" s="65">
        <f>SUM(D8:D9)</f>
        <v>0</v>
      </c>
      <c r="E10" s="65">
        <f>SUM(E8:E9)</f>
        <v>5700</v>
      </c>
    </row>
    <row r="11" spans="1:5" x14ac:dyDescent="0.25">
      <c r="A11" s="72"/>
      <c r="B11" s="44"/>
      <c r="C11" s="64"/>
      <c r="D11" s="64"/>
      <c r="E11" s="64"/>
    </row>
    <row r="12" spans="1:5" x14ac:dyDescent="0.25">
      <c r="A12" s="72">
        <v>542900</v>
      </c>
      <c r="B12" s="44" t="s">
        <v>28</v>
      </c>
      <c r="C12" s="64">
        <v>27000</v>
      </c>
      <c r="D12" s="64"/>
      <c r="E12" s="64">
        <f>SUM(C12:D12)</f>
        <v>27000</v>
      </c>
    </row>
    <row r="13" spans="1:5" x14ac:dyDescent="0.25">
      <c r="A13" s="40"/>
      <c r="B13" s="43" t="s">
        <v>9</v>
      </c>
      <c r="C13" s="65">
        <f>SUM(C12)</f>
        <v>27000</v>
      </c>
      <c r="D13" s="65">
        <f>SUM(D12)</f>
        <v>0</v>
      </c>
      <c r="E13" s="65">
        <f>SUM(E12)</f>
        <v>27000</v>
      </c>
    </row>
    <row r="14" spans="1:5" x14ac:dyDescent="0.25">
      <c r="A14" s="41"/>
      <c r="B14" s="44"/>
      <c r="C14" s="64"/>
      <c r="D14" s="64"/>
      <c r="E14" s="64"/>
    </row>
    <row r="15" spans="1:5" ht="13.8" x14ac:dyDescent="0.25">
      <c r="A15" s="53"/>
      <c r="B15" s="24" t="s">
        <v>81</v>
      </c>
      <c r="C15" s="67">
        <f>SUM(C10+C13)</f>
        <v>32700</v>
      </c>
      <c r="D15" s="67">
        <f>SUM(D10+D13)</f>
        <v>0</v>
      </c>
      <c r="E15" s="67">
        <f>SUM(E10+E13)</f>
        <v>32700</v>
      </c>
    </row>
    <row r="16" spans="1:5" x14ac:dyDescent="0.25">
      <c r="A16" s="47"/>
      <c r="B16" s="44"/>
      <c r="C16" s="64"/>
      <c r="D16" s="64"/>
      <c r="E16" s="64"/>
    </row>
    <row r="17" spans="1:5" ht="13.8" x14ac:dyDescent="0.25">
      <c r="A17" s="63">
        <v>72207</v>
      </c>
      <c r="B17" s="24" t="s">
        <v>37</v>
      </c>
      <c r="C17" s="64"/>
      <c r="D17" s="64"/>
      <c r="E17" s="64"/>
    </row>
    <row r="18" spans="1:5" x14ac:dyDescent="0.25">
      <c r="A18" s="72">
        <v>531200</v>
      </c>
      <c r="B18" s="44" t="s">
        <v>168</v>
      </c>
      <c r="C18" s="64">
        <v>1100</v>
      </c>
      <c r="D18" s="64"/>
      <c r="E18" s="64">
        <f>SUM(C18:D18)</f>
        <v>1100</v>
      </c>
    </row>
    <row r="19" spans="1:5" x14ac:dyDescent="0.25">
      <c r="A19" s="72">
        <v>535500</v>
      </c>
      <c r="B19" s="26" t="s">
        <v>2</v>
      </c>
      <c r="C19" s="64">
        <v>1500</v>
      </c>
      <c r="D19" s="64"/>
      <c r="E19" s="64">
        <f>SUM(C19:D19)</f>
        <v>1500</v>
      </c>
    </row>
    <row r="20" spans="1:5" x14ac:dyDescent="0.25">
      <c r="A20" s="43"/>
      <c r="B20" s="43" t="s">
        <v>4</v>
      </c>
      <c r="C20" s="65">
        <f>SUM(C18:C19)</f>
        <v>2600</v>
      </c>
      <c r="D20" s="65">
        <f>SUM(D18:D19)</f>
        <v>0</v>
      </c>
      <c r="E20" s="65">
        <f>SUM(E18:E19)</f>
        <v>2600</v>
      </c>
    </row>
    <row r="21" spans="1:5" x14ac:dyDescent="0.25">
      <c r="A21" s="72"/>
      <c r="B21" s="44"/>
      <c r="C21" s="64"/>
      <c r="D21" s="64"/>
      <c r="E21" s="64"/>
    </row>
    <row r="22" spans="1:5" x14ac:dyDescent="0.25">
      <c r="A22" s="72">
        <v>543500</v>
      </c>
      <c r="B22" s="44" t="s">
        <v>6</v>
      </c>
      <c r="C22" s="64">
        <v>1500</v>
      </c>
      <c r="D22" s="64"/>
      <c r="E22" s="64">
        <f>SUM(C22:D22)</f>
        <v>1500</v>
      </c>
    </row>
    <row r="23" spans="1:5" x14ac:dyDescent="0.25">
      <c r="A23" s="72">
        <v>542900</v>
      </c>
      <c r="B23" s="44" t="s">
        <v>28</v>
      </c>
      <c r="C23" s="64">
        <v>4000</v>
      </c>
      <c r="D23" s="64"/>
      <c r="E23" s="64">
        <f>SUM(C23:D23)</f>
        <v>4000</v>
      </c>
    </row>
    <row r="24" spans="1:5" x14ac:dyDescent="0.25">
      <c r="A24" s="43"/>
      <c r="B24" s="43" t="s">
        <v>9</v>
      </c>
      <c r="C24" s="65">
        <f>SUM(C22:C23)</f>
        <v>5500</v>
      </c>
      <c r="D24" s="65">
        <f>SUM(D22:D23)</f>
        <v>0</v>
      </c>
      <c r="E24" s="65">
        <f>SUM(E22:E23)</f>
        <v>5500</v>
      </c>
    </row>
    <row r="25" spans="1:5" x14ac:dyDescent="0.25">
      <c r="A25" s="72"/>
      <c r="B25" s="44"/>
      <c r="C25" s="64"/>
      <c r="D25" s="64"/>
      <c r="E25" s="64"/>
    </row>
    <row r="26" spans="1:5" x14ac:dyDescent="0.25">
      <c r="A26" s="72">
        <v>552400</v>
      </c>
      <c r="B26" s="44" t="s">
        <v>11</v>
      </c>
      <c r="C26" s="64">
        <v>2268</v>
      </c>
      <c r="D26" s="64"/>
      <c r="E26" s="64">
        <f>SUM(C26:D26)</f>
        <v>2268</v>
      </c>
    </row>
    <row r="27" spans="1:5" x14ac:dyDescent="0.25">
      <c r="A27" s="40"/>
      <c r="B27" s="43" t="s">
        <v>12</v>
      </c>
      <c r="C27" s="65">
        <f>SUM(C26)</f>
        <v>2268</v>
      </c>
      <c r="D27" s="65">
        <f>SUM(D26)</f>
        <v>0</v>
      </c>
      <c r="E27" s="65">
        <f>SUM(E26)</f>
        <v>2268</v>
      </c>
    </row>
    <row r="28" spans="1:5" x14ac:dyDescent="0.25">
      <c r="A28" s="41"/>
      <c r="B28" s="44"/>
      <c r="C28" s="64"/>
      <c r="D28" s="64"/>
      <c r="E28" s="64"/>
    </row>
    <row r="29" spans="1:5" ht="13.8" x14ac:dyDescent="0.25">
      <c r="A29" s="44"/>
      <c r="B29" s="24" t="s">
        <v>82</v>
      </c>
      <c r="C29" s="67">
        <f>SUM(C20+C24+C27)</f>
        <v>10368</v>
      </c>
      <c r="D29" s="67">
        <f>SUM(D20+D24+D27)</f>
        <v>0</v>
      </c>
      <c r="E29" s="67">
        <f>SUM(E20+E24+E27)</f>
        <v>10368</v>
      </c>
    </row>
    <row r="30" spans="1:5" x14ac:dyDescent="0.25">
      <c r="A30" s="44"/>
      <c r="B30" s="44"/>
      <c r="C30" s="81"/>
      <c r="D30" s="81"/>
      <c r="E30" s="81"/>
    </row>
    <row r="31" spans="1:5" x14ac:dyDescent="0.25">
      <c r="A31" s="44"/>
      <c r="B31" s="44"/>
      <c r="C31" s="81"/>
      <c r="D31" s="81"/>
      <c r="E31" s="81"/>
    </row>
    <row r="32" spans="1:5" s="54" customFormat="1" ht="15.6" x14ac:dyDescent="0.3">
      <c r="A32" s="12" t="s">
        <v>171</v>
      </c>
      <c r="B32" s="12"/>
      <c r="C32" s="70">
        <f>SUM(C29+C15)</f>
        <v>43068</v>
      </c>
      <c r="D32" s="70">
        <f>SUM(D29+D15)</f>
        <v>0</v>
      </c>
      <c r="E32" s="70">
        <f>SUM(E29+E15)</f>
        <v>43068</v>
      </c>
    </row>
    <row r="33" spans="4:4" x14ac:dyDescent="0.25">
      <c r="D33"/>
    </row>
  </sheetData>
  <mergeCells count="1">
    <mergeCell ref="A4:B4"/>
  </mergeCells>
  <phoneticPr fontId="0" type="noConversion"/>
  <printOptions horizontalCentered="1"/>
  <pageMargins left="0.75" right="0.75" top="1" bottom="1" header="0.5" footer="0.5"/>
  <pageSetup scale="77" firstPageNumber="23" orientation="portrait" useFirstPageNumber="1" r:id="rId1"/>
  <headerFooter alignWithMargins="0">
    <oddFooter>&amp;C&amp;"Arial,Bold"&amp;P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E13"/>
  <sheetViews>
    <sheetView workbookViewId="0">
      <selection activeCell="D9" sqref="D9"/>
    </sheetView>
  </sheetViews>
  <sheetFormatPr defaultRowHeight="13.2" x14ac:dyDescent="0.25"/>
  <cols>
    <col min="1" max="1" width="11.6640625" customWidth="1"/>
    <col min="2" max="2" width="52.6640625" customWidth="1"/>
    <col min="3" max="3" width="17.6640625" customWidth="1"/>
    <col min="4" max="4" width="17.6640625" style="215" customWidth="1"/>
    <col min="5" max="6" width="17.6640625" customWidth="1"/>
  </cols>
  <sheetData>
    <row r="1" spans="1:5" ht="15.6" x14ac:dyDescent="0.3">
      <c r="A1" s="5" t="s">
        <v>261</v>
      </c>
    </row>
    <row r="2" spans="1:5" ht="15.6" x14ac:dyDescent="0.3">
      <c r="A2" s="5" t="s">
        <v>510</v>
      </c>
    </row>
    <row r="3" spans="1:5" ht="13.8" thickBot="1" x14ac:dyDescent="0.3"/>
    <row r="4" spans="1:5" ht="15.6" x14ac:dyDescent="0.3">
      <c r="A4" s="413" t="s">
        <v>180</v>
      </c>
      <c r="B4" s="414"/>
      <c r="C4" s="94" t="s">
        <v>483</v>
      </c>
      <c r="D4" s="356"/>
      <c r="E4" s="362" t="s">
        <v>511</v>
      </c>
    </row>
    <row r="5" spans="1:5" ht="15.6" x14ac:dyDescent="0.3">
      <c r="A5" s="60"/>
      <c r="B5" s="61"/>
      <c r="C5" s="93" t="s">
        <v>345</v>
      </c>
      <c r="D5" s="358"/>
      <c r="E5" s="363" t="s">
        <v>342</v>
      </c>
    </row>
    <row r="6" spans="1:5" ht="16.2" thickBot="1" x14ac:dyDescent="0.35">
      <c r="A6" s="13"/>
      <c r="B6" s="14"/>
      <c r="C6" s="14" t="s">
        <v>290</v>
      </c>
      <c r="D6" s="360" t="s">
        <v>493</v>
      </c>
      <c r="E6" s="364" t="s">
        <v>290</v>
      </c>
    </row>
    <row r="7" spans="1:5" ht="13.8" x14ac:dyDescent="0.25">
      <c r="A7" s="62">
        <v>71126</v>
      </c>
      <c r="B7" s="78" t="s">
        <v>32</v>
      </c>
      <c r="C7" s="101"/>
      <c r="D7" s="216"/>
      <c r="E7" s="25"/>
    </row>
    <row r="8" spans="1:5" x14ac:dyDescent="0.25">
      <c r="A8" s="201">
        <v>543500</v>
      </c>
      <c r="B8" s="51" t="s">
        <v>6</v>
      </c>
      <c r="C8" s="64">
        <v>102560</v>
      </c>
      <c r="D8" s="207">
        <v>-19471</v>
      </c>
      <c r="E8" s="64">
        <f>SUM(C8:D8)</f>
        <v>83089</v>
      </c>
    </row>
    <row r="9" spans="1:5" x14ac:dyDescent="0.25">
      <c r="A9" s="201">
        <v>541860</v>
      </c>
      <c r="B9" s="115" t="s">
        <v>294</v>
      </c>
      <c r="C9" s="64">
        <v>6000</v>
      </c>
      <c r="D9" s="207"/>
      <c r="E9" s="64">
        <f>SUM(C9:D9)</f>
        <v>6000</v>
      </c>
    </row>
    <row r="10" spans="1:5" x14ac:dyDescent="0.25">
      <c r="A10" s="50"/>
      <c r="B10" s="50" t="s">
        <v>9</v>
      </c>
      <c r="C10" s="65">
        <f>SUM(C8:C9)</f>
        <v>108560</v>
      </c>
      <c r="D10" s="208">
        <f>SUM(D8:D9)</f>
        <v>-19471</v>
      </c>
      <c r="E10" s="65">
        <f>SUM(E8:E9)</f>
        <v>89089</v>
      </c>
    </row>
    <row r="11" spans="1:5" x14ac:dyDescent="0.25">
      <c r="A11" s="9"/>
      <c r="B11" s="52"/>
      <c r="C11" s="64"/>
      <c r="D11" s="207"/>
      <c r="E11" s="64"/>
    </row>
    <row r="12" spans="1:5" x14ac:dyDescent="0.25">
      <c r="A12" s="9"/>
      <c r="B12" s="9"/>
      <c r="C12" s="64"/>
      <c r="D12" s="207"/>
      <c r="E12" s="64"/>
    </row>
    <row r="13" spans="1:5" s="36" customFormat="1" ht="15.6" x14ac:dyDescent="0.3">
      <c r="A13" s="12" t="s">
        <v>179</v>
      </c>
      <c r="B13" s="58"/>
      <c r="C13" s="70">
        <f>+C10</f>
        <v>108560</v>
      </c>
      <c r="D13" s="209">
        <f>+D10</f>
        <v>-19471</v>
      </c>
      <c r="E13" s="70">
        <f>+E10</f>
        <v>89089</v>
      </c>
    </row>
  </sheetData>
  <mergeCells count="1">
    <mergeCell ref="A4:B4"/>
  </mergeCells>
  <phoneticPr fontId="0" type="noConversion"/>
  <printOptions horizontalCentered="1"/>
  <pageMargins left="0.75" right="0.75" top="1" bottom="1" header="0.5" footer="0.5"/>
  <pageSetup scale="77" firstPageNumber="24" orientation="portrait" useFirstPageNumber="1" r:id="rId1"/>
  <headerFooter alignWithMargins="0">
    <oddFooter>&amp;C&amp;"Arial,Bold"&amp;P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E29"/>
  <sheetViews>
    <sheetView workbookViewId="0">
      <selection activeCell="A3" sqref="A3"/>
    </sheetView>
  </sheetViews>
  <sheetFormatPr defaultRowHeight="13.2" x14ac:dyDescent="0.25"/>
  <cols>
    <col min="1" max="1" width="11.6640625" customWidth="1"/>
    <col min="2" max="2" width="52.6640625" customWidth="1"/>
    <col min="3" max="3" width="17.6640625" customWidth="1"/>
    <col min="4" max="4" width="17.6640625" style="215" customWidth="1"/>
    <col min="5" max="6" width="17.6640625" customWidth="1"/>
  </cols>
  <sheetData>
    <row r="1" spans="1:5" ht="15.6" x14ac:dyDescent="0.3">
      <c r="A1" s="5" t="s">
        <v>261</v>
      </c>
    </row>
    <row r="2" spans="1:5" ht="15.6" x14ac:dyDescent="0.3">
      <c r="A2" s="5" t="s">
        <v>510</v>
      </c>
    </row>
    <row r="3" spans="1:5" ht="13.8" thickBot="1" x14ac:dyDescent="0.3"/>
    <row r="4" spans="1:5" ht="15.6" x14ac:dyDescent="0.3">
      <c r="A4" s="413" t="s">
        <v>181</v>
      </c>
      <c r="B4" s="414"/>
      <c r="C4" s="94" t="s">
        <v>483</v>
      </c>
      <c r="D4" s="356"/>
      <c r="E4" s="362" t="s">
        <v>511</v>
      </c>
    </row>
    <row r="5" spans="1:5" ht="15.6" x14ac:dyDescent="0.3">
      <c r="A5" s="60"/>
      <c r="B5" s="61"/>
      <c r="C5" s="93" t="s">
        <v>345</v>
      </c>
      <c r="D5" s="358"/>
      <c r="E5" s="363" t="s">
        <v>342</v>
      </c>
    </row>
    <row r="6" spans="1:5" ht="16.2" thickBot="1" x14ac:dyDescent="0.35">
      <c r="A6" s="13"/>
      <c r="B6" s="14"/>
      <c r="C6" s="14" t="s">
        <v>290</v>
      </c>
      <c r="D6" s="360" t="s">
        <v>493</v>
      </c>
      <c r="E6" s="364" t="s">
        <v>290</v>
      </c>
    </row>
    <row r="7" spans="1:5" ht="13.8" x14ac:dyDescent="0.25">
      <c r="A7" s="62">
        <v>71128</v>
      </c>
      <c r="B7" s="78" t="s">
        <v>32</v>
      </c>
      <c r="C7" s="25"/>
      <c r="D7" s="216"/>
      <c r="E7" s="25"/>
    </row>
    <row r="8" spans="1:5" x14ac:dyDescent="0.25">
      <c r="A8" s="71">
        <v>533600</v>
      </c>
      <c r="B8" s="9" t="s">
        <v>295</v>
      </c>
      <c r="C8" s="64">
        <v>74633</v>
      </c>
      <c r="D8" s="207"/>
      <c r="E8" s="64">
        <f>SUM(C8:D8)</f>
        <v>74633</v>
      </c>
    </row>
    <row r="9" spans="1:5" x14ac:dyDescent="0.25">
      <c r="A9" s="71">
        <v>533800</v>
      </c>
      <c r="B9" s="9" t="s">
        <v>296</v>
      </c>
      <c r="C9" s="64">
        <v>20000</v>
      </c>
      <c r="D9" s="207"/>
      <c r="E9" s="64">
        <f>SUM(C9:D9)</f>
        <v>20000</v>
      </c>
    </row>
    <row r="10" spans="1:5" x14ac:dyDescent="0.25">
      <c r="A10" s="43"/>
      <c r="B10" s="43" t="s">
        <v>4</v>
      </c>
      <c r="C10" s="65">
        <f>SUM(C8:C9)</f>
        <v>94633</v>
      </c>
      <c r="D10" s="208">
        <f>SUM(D8:D9)</f>
        <v>0</v>
      </c>
      <c r="E10" s="65">
        <f>SUM(E8:E9)</f>
        <v>94633</v>
      </c>
    </row>
    <row r="11" spans="1:5" x14ac:dyDescent="0.25">
      <c r="A11" s="72"/>
      <c r="B11" s="44"/>
      <c r="C11" s="64"/>
      <c r="D11" s="207"/>
      <c r="E11" s="64"/>
    </row>
    <row r="12" spans="1:5" x14ac:dyDescent="0.25">
      <c r="A12" s="72">
        <v>543500</v>
      </c>
      <c r="B12" s="44" t="s">
        <v>6</v>
      </c>
      <c r="C12" s="64">
        <v>4668</v>
      </c>
      <c r="D12" s="207"/>
      <c r="E12" s="64">
        <f>SUM(C12:D12)</f>
        <v>4668</v>
      </c>
    </row>
    <row r="13" spans="1:5" x14ac:dyDescent="0.25">
      <c r="A13" s="72">
        <v>541860</v>
      </c>
      <c r="B13" s="44" t="s">
        <v>112</v>
      </c>
      <c r="C13" s="64">
        <v>272</v>
      </c>
      <c r="D13" s="207"/>
      <c r="E13" s="64">
        <f>SUM(C13:D13)</f>
        <v>272</v>
      </c>
    </row>
    <row r="14" spans="1:5" x14ac:dyDescent="0.25">
      <c r="A14" s="20">
        <v>545260</v>
      </c>
      <c r="B14" s="26" t="s">
        <v>5</v>
      </c>
      <c r="C14" s="64">
        <v>18760</v>
      </c>
      <c r="D14" s="207"/>
      <c r="E14" s="64">
        <f>SUM(C14:D14)</f>
        <v>18760</v>
      </c>
    </row>
    <row r="15" spans="1:5" x14ac:dyDescent="0.25">
      <c r="A15" s="40"/>
      <c r="B15" s="43" t="s">
        <v>9</v>
      </c>
      <c r="C15" s="65">
        <f>SUM(C12:C14)</f>
        <v>23700</v>
      </c>
      <c r="D15" s="208">
        <f>SUM(D12:D14)</f>
        <v>0</v>
      </c>
      <c r="E15" s="65">
        <f>SUM(E12:E14)</f>
        <v>23700</v>
      </c>
    </row>
    <row r="16" spans="1:5" x14ac:dyDescent="0.25">
      <c r="A16" s="41"/>
      <c r="B16" s="44"/>
      <c r="C16" s="64"/>
      <c r="D16" s="207"/>
      <c r="E16" s="64"/>
    </row>
    <row r="17" spans="1:5" ht="13.8" x14ac:dyDescent="0.25">
      <c r="A17" s="40"/>
      <c r="B17" s="24" t="s">
        <v>81</v>
      </c>
      <c r="C17" s="67">
        <f>SUM(C10+C15)</f>
        <v>118333</v>
      </c>
      <c r="D17" s="214">
        <f>SUM(D10+D15)</f>
        <v>0</v>
      </c>
      <c r="E17" s="67">
        <f>SUM(E10+E15)</f>
        <v>118333</v>
      </c>
    </row>
    <row r="18" spans="1:5" x14ac:dyDescent="0.25">
      <c r="A18" s="41"/>
      <c r="B18" s="44"/>
      <c r="C18" s="64"/>
      <c r="D18" s="207"/>
      <c r="E18" s="64"/>
    </row>
    <row r="19" spans="1:5" ht="13.8" x14ac:dyDescent="0.25">
      <c r="A19" s="63">
        <v>72211</v>
      </c>
      <c r="B19" s="45" t="s">
        <v>37</v>
      </c>
      <c r="C19" s="64"/>
      <c r="D19" s="207"/>
      <c r="E19" s="64"/>
    </row>
    <row r="20" spans="1:5" x14ac:dyDescent="0.25">
      <c r="A20" s="72">
        <v>531200</v>
      </c>
      <c r="B20" s="48" t="s">
        <v>168</v>
      </c>
      <c r="C20" s="64">
        <v>1575</v>
      </c>
      <c r="D20" s="207"/>
      <c r="E20" s="64">
        <f>SUM(C20:D20)</f>
        <v>1575</v>
      </c>
    </row>
    <row r="21" spans="1:5" x14ac:dyDescent="0.25">
      <c r="A21" s="43"/>
      <c r="B21" s="43" t="s">
        <v>4</v>
      </c>
      <c r="C21" s="65">
        <f>SUM(C20)</f>
        <v>1575</v>
      </c>
      <c r="D21" s="208">
        <f>SUM(D20)</f>
        <v>0</v>
      </c>
      <c r="E21" s="65">
        <f>SUM(E20)</f>
        <v>1575</v>
      </c>
    </row>
    <row r="22" spans="1:5" x14ac:dyDescent="0.25">
      <c r="A22" s="72"/>
      <c r="B22" s="48"/>
      <c r="C22" s="64"/>
      <c r="D22" s="207"/>
      <c r="E22" s="64"/>
    </row>
    <row r="23" spans="1:5" x14ac:dyDescent="0.25">
      <c r="A23" s="72">
        <v>542200</v>
      </c>
      <c r="B23" s="48" t="s">
        <v>25</v>
      </c>
      <c r="C23" s="64">
        <v>712</v>
      </c>
      <c r="D23" s="207"/>
      <c r="E23" s="64">
        <f>SUM(C23:D23)</f>
        <v>712</v>
      </c>
    </row>
    <row r="24" spans="1:5" x14ac:dyDescent="0.25">
      <c r="A24" s="57"/>
      <c r="B24" s="43" t="s">
        <v>9</v>
      </c>
      <c r="C24" s="65">
        <f>SUM(C23)</f>
        <v>712</v>
      </c>
      <c r="D24" s="208">
        <f>SUM(D23)</f>
        <v>0</v>
      </c>
      <c r="E24" s="65">
        <f>SUM(E23)</f>
        <v>712</v>
      </c>
    </row>
    <row r="25" spans="1:5" x14ac:dyDescent="0.25">
      <c r="A25" s="57"/>
      <c r="B25" s="48"/>
      <c r="C25" s="64"/>
      <c r="D25" s="207"/>
      <c r="E25" s="64"/>
    </row>
    <row r="26" spans="1:5" s="1" customFormat="1" ht="13.8" x14ac:dyDescent="0.25">
      <c r="A26" s="6"/>
      <c r="B26" s="82" t="s">
        <v>82</v>
      </c>
      <c r="C26" s="67">
        <f>SUM(C21+C24)</f>
        <v>2287</v>
      </c>
      <c r="D26" s="214">
        <f>SUM(D21+D24)</f>
        <v>0</v>
      </c>
      <c r="E26" s="67">
        <f>SUM(E21+E24)</f>
        <v>2287</v>
      </c>
    </row>
    <row r="27" spans="1:5" s="1" customFormat="1" ht="13.8" x14ac:dyDescent="0.25">
      <c r="A27" s="6"/>
      <c r="B27" s="82"/>
      <c r="C27" s="67"/>
      <c r="D27" s="214"/>
      <c r="E27" s="67"/>
    </row>
    <row r="28" spans="1:5" x14ac:dyDescent="0.25">
      <c r="A28" s="9"/>
      <c r="B28" s="9"/>
      <c r="C28" s="64"/>
      <c r="D28" s="207"/>
      <c r="E28" s="64"/>
    </row>
    <row r="29" spans="1:5" s="23" customFormat="1" ht="15.6" x14ac:dyDescent="0.3">
      <c r="A29" s="12" t="s">
        <v>182</v>
      </c>
      <c r="B29" s="12"/>
      <c r="C29" s="70">
        <f>SUM(C17+C26)</f>
        <v>120620</v>
      </c>
      <c r="D29" s="209">
        <f>SUM(D17+D26)</f>
        <v>0</v>
      </c>
      <c r="E29" s="70">
        <f>SUM(E17+E26)</f>
        <v>120620</v>
      </c>
    </row>
  </sheetData>
  <mergeCells count="1">
    <mergeCell ref="A4:B4"/>
  </mergeCells>
  <phoneticPr fontId="0" type="noConversion"/>
  <printOptions horizontalCentered="1"/>
  <pageMargins left="0.75" right="0.75" top="1" bottom="1" header="0.5" footer="0.5"/>
  <pageSetup scale="77" firstPageNumber="25" orientation="portrait" useFirstPageNumber="1" r:id="rId1"/>
  <headerFooter alignWithMargins="0">
    <oddFooter>&amp;C&amp;"Arial,Bold"&amp;P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E37"/>
  <sheetViews>
    <sheetView workbookViewId="0">
      <selection activeCell="A3" sqref="A3"/>
    </sheetView>
  </sheetViews>
  <sheetFormatPr defaultRowHeight="13.2" x14ac:dyDescent="0.25"/>
  <cols>
    <col min="1" max="1" width="11.6640625" customWidth="1"/>
    <col min="2" max="2" width="52.6640625" customWidth="1"/>
    <col min="3" max="3" width="17.6640625" customWidth="1"/>
    <col min="4" max="4" width="17.6640625" style="215" customWidth="1"/>
    <col min="5" max="6" width="17.6640625" customWidth="1"/>
  </cols>
  <sheetData>
    <row r="1" spans="1:5" ht="15.6" x14ac:dyDescent="0.3">
      <c r="A1" s="5" t="s">
        <v>261</v>
      </c>
    </row>
    <row r="2" spans="1:5" ht="15.6" x14ac:dyDescent="0.3">
      <c r="A2" s="5" t="s">
        <v>510</v>
      </c>
    </row>
    <row r="3" spans="1:5" ht="13.8" thickBot="1" x14ac:dyDescent="0.3"/>
    <row r="4" spans="1:5" ht="15.6" x14ac:dyDescent="0.3">
      <c r="A4" s="413" t="s">
        <v>187</v>
      </c>
      <c r="B4" s="414"/>
      <c r="C4" s="94" t="s">
        <v>483</v>
      </c>
      <c r="D4" s="356"/>
      <c r="E4" s="362" t="s">
        <v>511</v>
      </c>
    </row>
    <row r="5" spans="1:5" ht="15.6" x14ac:dyDescent="0.3">
      <c r="A5" s="60"/>
      <c r="B5" s="61"/>
      <c r="C5" s="93" t="s">
        <v>345</v>
      </c>
      <c r="D5" s="358"/>
      <c r="E5" s="363" t="s">
        <v>342</v>
      </c>
    </row>
    <row r="6" spans="1:5" ht="16.2" thickBot="1" x14ac:dyDescent="0.35">
      <c r="A6" s="13"/>
      <c r="B6" s="14"/>
      <c r="C6" s="14" t="s">
        <v>290</v>
      </c>
      <c r="D6" s="360" t="s">
        <v>493</v>
      </c>
      <c r="E6" s="364" t="s">
        <v>290</v>
      </c>
    </row>
    <row r="7" spans="1:5" ht="13.8" x14ac:dyDescent="0.25">
      <c r="A7" s="62">
        <v>71130</v>
      </c>
      <c r="B7" s="78" t="s">
        <v>32</v>
      </c>
      <c r="C7" s="25"/>
      <c r="D7" s="216"/>
      <c r="E7" s="25"/>
    </row>
    <row r="8" spans="1:5" x14ac:dyDescent="0.25">
      <c r="A8" s="71">
        <v>533600</v>
      </c>
      <c r="B8" s="42" t="s">
        <v>183</v>
      </c>
      <c r="C8" s="64">
        <v>770</v>
      </c>
      <c r="D8" s="207"/>
      <c r="E8" s="64">
        <f>SUM(C8:D8)</f>
        <v>770</v>
      </c>
    </row>
    <row r="9" spans="1:5" x14ac:dyDescent="0.25">
      <c r="A9" s="40"/>
      <c r="B9" s="43" t="s">
        <v>4</v>
      </c>
      <c r="C9" s="65">
        <f>SUM(C8)</f>
        <v>770</v>
      </c>
      <c r="D9" s="208">
        <f>SUM(D8)</f>
        <v>0</v>
      </c>
      <c r="E9" s="65">
        <f>SUM(E8)</f>
        <v>770</v>
      </c>
    </row>
    <row r="10" spans="1:5" x14ac:dyDescent="0.25">
      <c r="A10" s="41"/>
      <c r="B10" s="44"/>
      <c r="C10" s="64"/>
      <c r="D10" s="207"/>
      <c r="E10" s="64"/>
    </row>
    <row r="11" spans="1:5" x14ac:dyDescent="0.25">
      <c r="A11" s="72">
        <v>541300</v>
      </c>
      <c r="B11" s="44" t="s">
        <v>184</v>
      </c>
      <c r="C11" s="64">
        <v>130</v>
      </c>
      <c r="D11" s="207"/>
      <c r="E11" s="64">
        <f t="shared" ref="E11:E16" si="0">SUM(C11:D11)</f>
        <v>130</v>
      </c>
    </row>
    <row r="12" spans="1:5" x14ac:dyDescent="0.25">
      <c r="A12" s="72">
        <v>543500</v>
      </c>
      <c r="B12" s="44" t="s">
        <v>6</v>
      </c>
      <c r="C12" s="64">
        <v>2788</v>
      </c>
      <c r="D12" s="207"/>
      <c r="E12" s="64">
        <f t="shared" si="0"/>
        <v>2788</v>
      </c>
    </row>
    <row r="13" spans="1:5" x14ac:dyDescent="0.25">
      <c r="A13" s="72">
        <v>541860</v>
      </c>
      <c r="B13" s="44" t="s">
        <v>113</v>
      </c>
      <c r="C13" s="64">
        <v>300</v>
      </c>
      <c r="D13" s="207"/>
      <c r="E13" s="64">
        <f t="shared" si="0"/>
        <v>300</v>
      </c>
    </row>
    <row r="14" spans="1:5" x14ac:dyDescent="0.25">
      <c r="A14" s="72">
        <v>542900</v>
      </c>
      <c r="B14" s="44" t="s">
        <v>28</v>
      </c>
      <c r="C14" s="64">
        <v>1300</v>
      </c>
      <c r="D14" s="207"/>
      <c r="E14" s="64">
        <f t="shared" si="0"/>
        <v>1300</v>
      </c>
    </row>
    <row r="15" spans="1:5" x14ac:dyDescent="0.25">
      <c r="A15" s="72">
        <v>542950</v>
      </c>
      <c r="B15" s="44" t="s">
        <v>29</v>
      </c>
      <c r="C15" s="64">
        <v>125</v>
      </c>
      <c r="D15" s="207"/>
      <c r="E15" s="64">
        <f t="shared" si="0"/>
        <v>125</v>
      </c>
    </row>
    <row r="16" spans="1:5" x14ac:dyDescent="0.25">
      <c r="A16" s="72">
        <v>543100</v>
      </c>
      <c r="B16" s="44" t="s">
        <v>64</v>
      </c>
      <c r="C16" s="64">
        <v>225</v>
      </c>
      <c r="D16" s="207"/>
      <c r="E16" s="64">
        <f t="shared" si="0"/>
        <v>225</v>
      </c>
    </row>
    <row r="17" spans="1:5" x14ac:dyDescent="0.25">
      <c r="A17" s="43"/>
      <c r="B17" s="43" t="s">
        <v>9</v>
      </c>
      <c r="C17" s="65">
        <f>SUM(C11:C16)</f>
        <v>4868</v>
      </c>
      <c r="D17" s="208">
        <f>SUM(D11:D16)</f>
        <v>0</v>
      </c>
      <c r="E17" s="65">
        <f>SUM(E11:E16)</f>
        <v>4868</v>
      </c>
    </row>
    <row r="18" spans="1:5" x14ac:dyDescent="0.25">
      <c r="A18" s="41"/>
      <c r="B18" s="44"/>
      <c r="C18" s="64"/>
      <c r="D18" s="207"/>
      <c r="E18" s="64"/>
    </row>
    <row r="19" spans="1:5" ht="13.8" x14ac:dyDescent="0.25">
      <c r="A19" s="40"/>
      <c r="B19" s="24" t="s">
        <v>81</v>
      </c>
      <c r="C19" s="67">
        <f>SUM(C9+C17)</f>
        <v>5638</v>
      </c>
      <c r="D19" s="214">
        <f>SUM(D9+D17)</f>
        <v>0</v>
      </c>
      <c r="E19" s="67">
        <f>SUM(E9+E17)</f>
        <v>5638</v>
      </c>
    </row>
    <row r="20" spans="1:5" x14ac:dyDescent="0.25">
      <c r="A20" s="47"/>
      <c r="B20" s="44"/>
      <c r="C20" s="64"/>
      <c r="D20" s="207"/>
      <c r="E20" s="64"/>
    </row>
    <row r="21" spans="1:5" ht="13.8" x14ac:dyDescent="0.25">
      <c r="A21" s="63">
        <v>72212</v>
      </c>
      <c r="B21" s="24" t="s">
        <v>37</v>
      </c>
      <c r="C21" s="64"/>
      <c r="D21" s="207"/>
      <c r="E21" s="64"/>
    </row>
    <row r="22" spans="1:5" x14ac:dyDescent="0.25">
      <c r="A22" s="72">
        <v>533800</v>
      </c>
      <c r="B22" s="44" t="s">
        <v>185</v>
      </c>
      <c r="C22" s="64">
        <v>12863</v>
      </c>
      <c r="D22" s="207"/>
      <c r="E22" s="64">
        <f>SUM(C22:D22)</f>
        <v>12863</v>
      </c>
    </row>
    <row r="23" spans="1:5" x14ac:dyDescent="0.25">
      <c r="A23" s="72">
        <v>530700</v>
      </c>
      <c r="B23" s="44" t="s">
        <v>1</v>
      </c>
      <c r="C23" s="64">
        <v>100</v>
      </c>
      <c r="D23" s="207"/>
      <c r="E23" s="64">
        <f>SUM(C23:D23)</f>
        <v>100</v>
      </c>
    </row>
    <row r="24" spans="1:5" x14ac:dyDescent="0.25">
      <c r="A24" s="43"/>
      <c r="B24" s="43" t="s">
        <v>4</v>
      </c>
      <c r="C24" s="65">
        <f>SUM(C22:C23)</f>
        <v>12963</v>
      </c>
      <c r="D24" s="208">
        <f>SUM(D22:D23)</f>
        <v>0</v>
      </c>
      <c r="E24" s="65">
        <f>SUM(E22:E23)</f>
        <v>12963</v>
      </c>
    </row>
    <row r="25" spans="1:5" x14ac:dyDescent="0.25">
      <c r="A25" s="72"/>
      <c r="B25" s="44"/>
      <c r="C25" s="64"/>
      <c r="D25" s="207"/>
      <c r="E25" s="64"/>
    </row>
    <row r="26" spans="1:5" x14ac:dyDescent="0.25">
      <c r="A26" s="72">
        <v>545200</v>
      </c>
      <c r="B26" s="44" t="s">
        <v>71</v>
      </c>
      <c r="C26" s="64">
        <v>8059</v>
      </c>
      <c r="D26" s="207"/>
      <c r="E26" s="64">
        <f>SUM(C26:D26)</f>
        <v>8059</v>
      </c>
    </row>
    <row r="27" spans="1:5" x14ac:dyDescent="0.25">
      <c r="A27" s="72">
        <v>543500</v>
      </c>
      <c r="B27" s="44" t="s">
        <v>6</v>
      </c>
      <c r="C27" s="64">
        <v>2040</v>
      </c>
      <c r="D27" s="207"/>
      <c r="E27" s="64">
        <f>SUM(C27:D27)</f>
        <v>2040</v>
      </c>
    </row>
    <row r="28" spans="1:5" x14ac:dyDescent="0.25">
      <c r="A28" s="72">
        <v>545300</v>
      </c>
      <c r="B28" s="44" t="s">
        <v>114</v>
      </c>
      <c r="C28" s="64">
        <v>1135</v>
      </c>
      <c r="D28" s="207"/>
      <c r="E28" s="64">
        <f>SUM(C28:D28)</f>
        <v>1135</v>
      </c>
    </row>
    <row r="29" spans="1:5" x14ac:dyDescent="0.25">
      <c r="A29" s="43"/>
      <c r="B29" s="43" t="s">
        <v>9</v>
      </c>
      <c r="C29" s="65">
        <f>SUM(C26:C28)</f>
        <v>11234</v>
      </c>
      <c r="D29" s="208">
        <f>SUM(D26:D28)</f>
        <v>0</v>
      </c>
      <c r="E29" s="65">
        <f>SUM(E26:E28)</f>
        <v>11234</v>
      </c>
    </row>
    <row r="30" spans="1:5" x14ac:dyDescent="0.25">
      <c r="A30" s="72"/>
      <c r="B30" s="44"/>
      <c r="C30" s="64"/>
      <c r="D30" s="207"/>
      <c r="E30" s="64"/>
    </row>
    <row r="31" spans="1:5" x14ac:dyDescent="0.25">
      <c r="A31" s="72">
        <v>552400</v>
      </c>
      <c r="B31" s="44" t="s">
        <v>11</v>
      </c>
      <c r="C31" s="64">
        <v>729</v>
      </c>
      <c r="D31" s="207"/>
      <c r="E31" s="64">
        <f>SUM(C31:D31)</f>
        <v>729</v>
      </c>
    </row>
    <row r="32" spans="1:5" x14ac:dyDescent="0.25">
      <c r="A32" s="11"/>
      <c r="B32" s="43" t="s">
        <v>12</v>
      </c>
      <c r="C32" s="65">
        <f>SUM(C31)</f>
        <v>729</v>
      </c>
      <c r="D32" s="208">
        <f>SUM(D31)</f>
        <v>0</v>
      </c>
      <c r="E32" s="65">
        <f>SUM(E31)</f>
        <v>729</v>
      </c>
    </row>
    <row r="33" spans="1:5" x14ac:dyDescent="0.25">
      <c r="A33" s="9"/>
      <c r="B33" s="9"/>
      <c r="C33" s="64"/>
      <c r="D33" s="207"/>
      <c r="E33" s="64"/>
    </row>
    <row r="34" spans="1:5" s="1" customFormat="1" ht="13.8" x14ac:dyDescent="0.25">
      <c r="A34" s="10"/>
      <c r="B34" s="24" t="s">
        <v>82</v>
      </c>
      <c r="C34" s="67">
        <f>SUM(C24+C29+C32)</f>
        <v>24926</v>
      </c>
      <c r="D34" s="214">
        <f>SUM(D24+D29+D32)</f>
        <v>0</v>
      </c>
      <c r="E34" s="67">
        <f>SUM(E24+E29+E32)</f>
        <v>24926</v>
      </c>
    </row>
    <row r="35" spans="1:5" s="1" customFormat="1" ht="13.8" x14ac:dyDescent="0.25">
      <c r="A35" s="10"/>
      <c r="B35" s="24"/>
      <c r="C35" s="67"/>
      <c r="D35" s="214"/>
      <c r="E35" s="67"/>
    </row>
    <row r="36" spans="1:5" x14ac:dyDescent="0.25">
      <c r="A36" s="9"/>
      <c r="B36" s="9"/>
      <c r="C36" s="64"/>
      <c r="D36" s="207"/>
      <c r="E36" s="64"/>
    </row>
    <row r="37" spans="1:5" s="23" customFormat="1" ht="15.6" x14ac:dyDescent="0.3">
      <c r="A37" s="12" t="s">
        <v>186</v>
      </c>
      <c r="B37" s="12"/>
      <c r="C37" s="70">
        <f>SUM(C19+C34)</f>
        <v>30564</v>
      </c>
      <c r="D37" s="209">
        <f>SUM(D19+D34)</f>
        <v>0</v>
      </c>
      <c r="E37" s="70">
        <f>SUM(E19+E34)</f>
        <v>30564</v>
      </c>
    </row>
  </sheetData>
  <mergeCells count="1">
    <mergeCell ref="A4:B4"/>
  </mergeCells>
  <phoneticPr fontId="0" type="noConversion"/>
  <printOptions horizontalCentered="1"/>
  <pageMargins left="0.75" right="0.75" top="1" bottom="1" header="0.5" footer="0.5"/>
  <pageSetup scale="77" firstPageNumber="26" orientation="portrait" useFirstPageNumber="1" r:id="rId1"/>
  <headerFooter alignWithMargins="0">
    <oddFooter>&amp;C&amp;"Arial,Bold"&amp;P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E35"/>
  <sheetViews>
    <sheetView workbookViewId="0">
      <selection activeCell="A3" sqref="A3"/>
    </sheetView>
  </sheetViews>
  <sheetFormatPr defaultRowHeight="13.2" x14ac:dyDescent="0.25"/>
  <cols>
    <col min="1" max="1" width="11.6640625" customWidth="1"/>
    <col min="2" max="2" width="52.6640625" customWidth="1"/>
    <col min="3" max="3" width="17.6640625" customWidth="1"/>
    <col min="4" max="4" width="17.6640625" style="215" customWidth="1"/>
    <col min="5" max="6" width="17.6640625" customWidth="1"/>
  </cols>
  <sheetData>
    <row r="1" spans="1:5" ht="15.6" x14ac:dyDescent="0.3">
      <c r="A1" s="5" t="s">
        <v>261</v>
      </c>
    </row>
    <row r="2" spans="1:5" ht="15.6" x14ac:dyDescent="0.3">
      <c r="A2" s="5" t="s">
        <v>510</v>
      </c>
    </row>
    <row r="3" spans="1:5" ht="13.8" thickBot="1" x14ac:dyDescent="0.3"/>
    <row r="4" spans="1:5" ht="15.6" x14ac:dyDescent="0.3">
      <c r="A4" s="413" t="s">
        <v>188</v>
      </c>
      <c r="B4" s="414"/>
      <c r="C4" s="94" t="s">
        <v>483</v>
      </c>
      <c r="D4" s="356"/>
      <c r="E4" s="362" t="s">
        <v>511</v>
      </c>
    </row>
    <row r="5" spans="1:5" ht="15.6" x14ac:dyDescent="0.3">
      <c r="A5" s="60"/>
      <c r="B5" s="61"/>
      <c r="C5" s="93" t="s">
        <v>345</v>
      </c>
      <c r="D5" s="358"/>
      <c r="E5" s="363" t="s">
        <v>342</v>
      </c>
    </row>
    <row r="6" spans="1:5" ht="16.2" thickBot="1" x14ac:dyDescent="0.35">
      <c r="A6" s="13"/>
      <c r="B6" s="14"/>
      <c r="C6" s="14" t="s">
        <v>290</v>
      </c>
      <c r="D6" s="360" t="s">
        <v>493</v>
      </c>
      <c r="E6" s="364" t="s">
        <v>290</v>
      </c>
    </row>
    <row r="7" spans="1:5" ht="13.8" x14ac:dyDescent="0.25">
      <c r="A7" s="62">
        <v>71136</v>
      </c>
      <c r="B7" s="78" t="s">
        <v>32</v>
      </c>
      <c r="C7" s="25"/>
      <c r="D7" s="216"/>
      <c r="E7" s="25"/>
    </row>
    <row r="8" spans="1:5" x14ac:dyDescent="0.25">
      <c r="A8" s="20">
        <v>530700</v>
      </c>
      <c r="B8" s="26" t="s">
        <v>41</v>
      </c>
      <c r="C8" s="66">
        <v>2500</v>
      </c>
      <c r="D8" s="207"/>
      <c r="E8" s="66">
        <f>SUM(C8:D8)</f>
        <v>2500</v>
      </c>
    </row>
    <row r="9" spans="1:5" x14ac:dyDescent="0.25">
      <c r="A9" s="20">
        <v>535400</v>
      </c>
      <c r="B9" s="26" t="s">
        <v>136</v>
      </c>
      <c r="C9" s="66">
        <v>2500</v>
      </c>
      <c r="D9" s="207"/>
      <c r="E9" s="66">
        <f>SUM(C9:D9)</f>
        <v>2500</v>
      </c>
    </row>
    <row r="10" spans="1:5" x14ac:dyDescent="0.25">
      <c r="A10" s="6"/>
      <c r="B10" s="6" t="s">
        <v>4</v>
      </c>
      <c r="C10" s="65">
        <f>SUM(C8:C9)</f>
        <v>5000</v>
      </c>
      <c r="D10" s="208">
        <f>SUM(D8:D9)</f>
        <v>0</v>
      </c>
      <c r="E10" s="65">
        <f>SUM(E8:E9)</f>
        <v>5000</v>
      </c>
    </row>
    <row r="11" spans="1:5" x14ac:dyDescent="0.25">
      <c r="A11" s="20"/>
      <c r="B11" s="26"/>
      <c r="C11" s="66"/>
      <c r="D11" s="207"/>
      <c r="E11" s="66"/>
    </row>
    <row r="12" spans="1:5" x14ac:dyDescent="0.25">
      <c r="A12" s="20">
        <v>543500</v>
      </c>
      <c r="B12" s="26" t="s">
        <v>6</v>
      </c>
      <c r="C12" s="66">
        <v>5000</v>
      </c>
      <c r="D12" s="207"/>
      <c r="E12" s="66">
        <f>SUM(C12:D12)</f>
        <v>5000</v>
      </c>
    </row>
    <row r="13" spans="1:5" x14ac:dyDescent="0.25">
      <c r="A13" s="20">
        <v>541870</v>
      </c>
      <c r="B13" s="26" t="s">
        <v>113</v>
      </c>
      <c r="C13" s="66">
        <v>1799</v>
      </c>
      <c r="D13" s="207"/>
      <c r="E13" s="66">
        <f>SUM(C13:D13)</f>
        <v>1799</v>
      </c>
    </row>
    <row r="14" spans="1:5" x14ac:dyDescent="0.25">
      <c r="A14" s="20">
        <v>542900</v>
      </c>
      <c r="B14" s="26" t="s">
        <v>28</v>
      </c>
      <c r="C14" s="66">
        <v>1000</v>
      </c>
      <c r="D14" s="207"/>
      <c r="E14" s="66">
        <f>SUM(C14:D14)</f>
        <v>1000</v>
      </c>
    </row>
    <row r="15" spans="1:5" x14ac:dyDescent="0.25">
      <c r="A15" s="20">
        <v>544900</v>
      </c>
      <c r="B15" s="26" t="s">
        <v>30</v>
      </c>
      <c r="C15" s="66">
        <v>1500</v>
      </c>
      <c r="D15" s="207"/>
      <c r="E15" s="66">
        <f>SUM(C15:D15)</f>
        <v>1500</v>
      </c>
    </row>
    <row r="16" spans="1:5" x14ac:dyDescent="0.25">
      <c r="A16" s="16"/>
      <c r="B16" s="6" t="s">
        <v>9</v>
      </c>
      <c r="C16" s="65">
        <f>SUM(C12:C15)</f>
        <v>9299</v>
      </c>
      <c r="D16" s="208">
        <f>SUM(D12:D15)</f>
        <v>0</v>
      </c>
      <c r="E16" s="65">
        <f>SUM(E12:E15)</f>
        <v>9299</v>
      </c>
    </row>
    <row r="17" spans="1:5" x14ac:dyDescent="0.25">
      <c r="A17" s="41"/>
      <c r="B17" s="28"/>
      <c r="C17" s="64"/>
      <c r="D17" s="207"/>
      <c r="E17" s="64"/>
    </row>
    <row r="18" spans="1:5" ht="13.8" x14ac:dyDescent="0.25">
      <c r="A18" s="40"/>
      <c r="B18" s="24" t="s">
        <v>81</v>
      </c>
      <c r="C18" s="67">
        <f>SUM(C10+C16)</f>
        <v>14299</v>
      </c>
      <c r="D18" s="214">
        <f>SUM(D10+D16)</f>
        <v>0</v>
      </c>
      <c r="E18" s="67">
        <f>SUM(E10+E16)</f>
        <v>14299</v>
      </c>
    </row>
    <row r="19" spans="1:5" x14ac:dyDescent="0.25">
      <c r="A19" s="41"/>
      <c r="B19" s="9"/>
      <c r="C19" s="64"/>
      <c r="D19" s="207"/>
      <c r="E19" s="64"/>
    </row>
    <row r="20" spans="1:5" ht="13.8" x14ac:dyDescent="0.25">
      <c r="A20" s="63">
        <v>72213</v>
      </c>
      <c r="B20" s="24" t="s">
        <v>37</v>
      </c>
      <c r="C20" s="64"/>
      <c r="D20" s="207"/>
      <c r="E20" s="64"/>
    </row>
    <row r="21" spans="1:5" x14ac:dyDescent="0.25">
      <c r="A21" s="20">
        <v>530700</v>
      </c>
      <c r="B21" s="26" t="s">
        <v>1</v>
      </c>
      <c r="C21" s="66">
        <v>1250</v>
      </c>
      <c r="D21" s="207"/>
      <c r="E21" s="66">
        <f>SUM(C21:D21)</f>
        <v>1250</v>
      </c>
    </row>
    <row r="22" spans="1:5" x14ac:dyDescent="0.25">
      <c r="A22" s="20">
        <v>532000</v>
      </c>
      <c r="B22" s="26" t="s">
        <v>94</v>
      </c>
      <c r="C22" s="66">
        <v>175</v>
      </c>
      <c r="D22" s="207"/>
      <c r="E22" s="66">
        <f>SUM(C22:D22)</f>
        <v>175</v>
      </c>
    </row>
    <row r="23" spans="1:5" x14ac:dyDescent="0.25">
      <c r="A23" s="6"/>
      <c r="B23" s="6" t="s">
        <v>4</v>
      </c>
      <c r="C23" s="65">
        <f>SUM(C21:C22)</f>
        <v>1425</v>
      </c>
      <c r="D23" s="208">
        <f>SUM(D21:D22)</f>
        <v>0</v>
      </c>
      <c r="E23" s="65">
        <f>SUM(E21:E22)</f>
        <v>1425</v>
      </c>
    </row>
    <row r="24" spans="1:5" x14ac:dyDescent="0.25">
      <c r="A24" s="20"/>
      <c r="B24" s="26"/>
      <c r="C24" s="66"/>
      <c r="D24" s="207"/>
      <c r="E24" s="66"/>
    </row>
    <row r="25" spans="1:5" x14ac:dyDescent="0.25">
      <c r="A25" s="20">
        <v>543500</v>
      </c>
      <c r="B25" s="26" t="s">
        <v>6</v>
      </c>
      <c r="C25" s="66">
        <v>2100</v>
      </c>
      <c r="D25" s="207"/>
      <c r="E25" s="66">
        <f>SUM(C25:D25)</f>
        <v>2100</v>
      </c>
    </row>
    <row r="26" spans="1:5" x14ac:dyDescent="0.25">
      <c r="A26" s="20">
        <v>543700</v>
      </c>
      <c r="B26" s="26" t="s">
        <v>43</v>
      </c>
      <c r="C26" s="66">
        <v>250</v>
      </c>
      <c r="D26" s="207"/>
      <c r="E26" s="66">
        <f>SUM(C26:D26)</f>
        <v>250</v>
      </c>
    </row>
    <row r="27" spans="1:5" x14ac:dyDescent="0.25">
      <c r="A27" s="6"/>
      <c r="B27" s="6" t="s">
        <v>9</v>
      </c>
      <c r="C27" s="65">
        <f>SUM(C25:C26)</f>
        <v>2350</v>
      </c>
      <c r="D27" s="208">
        <f>SUM(D25:D26)</f>
        <v>0</v>
      </c>
      <c r="E27" s="65">
        <f>SUM(E25:E26)</f>
        <v>2350</v>
      </c>
    </row>
    <row r="28" spans="1:5" x14ac:dyDescent="0.25">
      <c r="A28" s="20"/>
      <c r="B28" s="26"/>
      <c r="C28" s="66"/>
      <c r="D28" s="207"/>
      <c r="E28" s="66"/>
    </row>
    <row r="29" spans="1:5" x14ac:dyDescent="0.25">
      <c r="A29" s="20">
        <v>552400</v>
      </c>
      <c r="B29" s="26" t="s">
        <v>11</v>
      </c>
      <c r="C29" s="66">
        <v>748</v>
      </c>
      <c r="D29" s="207"/>
      <c r="E29" s="66">
        <f>SUM(C29:D29)</f>
        <v>748</v>
      </c>
    </row>
    <row r="30" spans="1:5" x14ac:dyDescent="0.25">
      <c r="A30" s="20"/>
      <c r="B30" s="6" t="s">
        <v>12</v>
      </c>
      <c r="C30" s="65">
        <f>SUM(C29)</f>
        <v>748</v>
      </c>
      <c r="D30" s="208">
        <f>SUM(D29)</f>
        <v>0</v>
      </c>
      <c r="E30" s="65">
        <f>SUM(E29)</f>
        <v>748</v>
      </c>
    </row>
    <row r="31" spans="1:5" x14ac:dyDescent="0.25">
      <c r="A31" s="57"/>
      <c r="B31" s="28"/>
      <c r="C31" s="64"/>
      <c r="D31" s="207"/>
      <c r="E31" s="64"/>
    </row>
    <row r="32" spans="1:5" s="1" customFormat="1" ht="13.8" x14ac:dyDescent="0.25">
      <c r="A32" s="10"/>
      <c r="B32" s="24" t="s">
        <v>82</v>
      </c>
      <c r="C32" s="67">
        <f>SUM(C23+C27+C30)</f>
        <v>4523</v>
      </c>
      <c r="D32" s="214">
        <f>SUM(D23+D27+D30)</f>
        <v>0</v>
      </c>
      <c r="E32" s="67">
        <f>SUM(E23+E27+E30)</f>
        <v>4523</v>
      </c>
    </row>
    <row r="33" spans="1:5" x14ac:dyDescent="0.25">
      <c r="A33" s="9"/>
      <c r="B33" s="9"/>
      <c r="C33" s="64"/>
      <c r="D33" s="207"/>
      <c r="E33" s="64"/>
    </row>
    <row r="34" spans="1:5" x14ac:dyDescent="0.25">
      <c r="A34" s="9"/>
      <c r="B34" s="9"/>
      <c r="C34" s="64"/>
      <c r="D34" s="207"/>
      <c r="E34" s="64"/>
    </row>
    <row r="35" spans="1:5" s="23" customFormat="1" ht="15.6" x14ac:dyDescent="0.3">
      <c r="A35" s="12" t="s">
        <v>189</v>
      </c>
      <c r="B35" s="12"/>
      <c r="C35" s="70">
        <f>SUM(C18+C32)</f>
        <v>18822</v>
      </c>
      <c r="D35" s="209">
        <f>SUM(D18+D32)</f>
        <v>0</v>
      </c>
      <c r="E35" s="70">
        <f>SUM(E18+E32)</f>
        <v>18822</v>
      </c>
    </row>
  </sheetData>
  <mergeCells count="1">
    <mergeCell ref="A4:B4"/>
  </mergeCells>
  <phoneticPr fontId="0" type="noConversion"/>
  <printOptions horizontalCentered="1"/>
  <pageMargins left="0.75" right="0.75" top="1" bottom="1" header="0.5" footer="0.5"/>
  <pageSetup scale="77" firstPageNumber="27" orientation="portrait" useFirstPageNumber="1" r:id="rId1"/>
  <headerFooter alignWithMargins="0">
    <oddFooter>&amp;C&amp;"Arial,Bold"&amp;P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H72"/>
  <sheetViews>
    <sheetView topLeftCell="A37" workbookViewId="0">
      <selection activeCell="D68" sqref="D68"/>
    </sheetView>
  </sheetViews>
  <sheetFormatPr defaultRowHeight="13.2" x14ac:dyDescent="0.25"/>
  <cols>
    <col min="1" max="1" width="11.6640625" customWidth="1"/>
    <col min="2" max="2" width="52.6640625" customWidth="1"/>
    <col min="3" max="3" width="17.6640625" customWidth="1"/>
    <col min="4" max="4" width="17.6640625" style="215" customWidth="1"/>
    <col min="5" max="6" width="17.6640625" customWidth="1"/>
  </cols>
  <sheetData>
    <row r="1" spans="1:5" ht="15.6" x14ac:dyDescent="0.3">
      <c r="A1" s="89" t="s">
        <v>261</v>
      </c>
      <c r="B1" s="87"/>
      <c r="C1" s="87"/>
      <c r="D1" s="258"/>
      <c r="E1" s="87"/>
    </row>
    <row r="2" spans="1:5" ht="15.6" x14ac:dyDescent="0.3">
      <c r="A2" s="5" t="s">
        <v>510</v>
      </c>
      <c r="B2" s="87"/>
      <c r="C2" s="87"/>
      <c r="D2" s="258"/>
      <c r="E2" s="87"/>
    </row>
    <row r="3" spans="1:5" ht="13.8" thickBot="1" x14ac:dyDescent="0.3">
      <c r="A3" s="87"/>
      <c r="B3" s="87"/>
      <c r="C3" s="87"/>
      <c r="D3" s="258"/>
      <c r="E3" s="87"/>
    </row>
    <row r="4" spans="1:5" ht="15.6" x14ac:dyDescent="0.3">
      <c r="A4" s="413" t="s">
        <v>292</v>
      </c>
      <c r="B4" s="414"/>
      <c r="C4" s="94" t="s">
        <v>483</v>
      </c>
      <c r="D4" s="356"/>
      <c r="E4" s="362" t="s">
        <v>511</v>
      </c>
    </row>
    <row r="5" spans="1:5" ht="16.2" thickBot="1" x14ac:dyDescent="0.35">
      <c r="A5" s="60"/>
      <c r="B5" s="61"/>
      <c r="C5" s="93" t="s">
        <v>345</v>
      </c>
      <c r="D5" s="358"/>
      <c r="E5" s="363" t="s">
        <v>342</v>
      </c>
    </row>
    <row r="6" spans="1:5" ht="16.2" thickBot="1" x14ac:dyDescent="0.35">
      <c r="A6" s="100" t="s">
        <v>85</v>
      </c>
      <c r="B6" s="98"/>
      <c r="C6" s="14" t="s">
        <v>290</v>
      </c>
      <c r="D6" s="360" t="s">
        <v>493</v>
      </c>
      <c r="E6" s="364" t="s">
        <v>290</v>
      </c>
    </row>
    <row r="7" spans="1:5" ht="13.8" x14ac:dyDescent="0.25">
      <c r="A7" s="62">
        <v>71129</v>
      </c>
      <c r="B7" s="78" t="s">
        <v>32</v>
      </c>
      <c r="C7" s="101"/>
      <c r="D7" s="216"/>
      <c r="E7" s="25"/>
    </row>
    <row r="8" spans="1:5" x14ac:dyDescent="0.25">
      <c r="A8" s="57">
        <v>542960</v>
      </c>
      <c r="B8" s="9" t="s">
        <v>31</v>
      </c>
      <c r="C8" s="66">
        <v>77933</v>
      </c>
      <c r="D8" s="207">
        <v>-10000</v>
      </c>
      <c r="E8" s="66">
        <f>SUM(C8:D8)</f>
        <v>67933</v>
      </c>
    </row>
    <row r="9" spans="1:5" s="1" customFormat="1" x14ac:dyDescent="0.25">
      <c r="A9" s="6"/>
      <c r="B9" s="6" t="s">
        <v>9</v>
      </c>
      <c r="C9" s="65">
        <f>SUM(C8:C8)</f>
        <v>77933</v>
      </c>
      <c r="D9" s="208">
        <f>SUM(D8:D8)</f>
        <v>-10000</v>
      </c>
      <c r="E9" s="65">
        <f>SUM(E8:E8)</f>
        <v>67933</v>
      </c>
    </row>
    <row r="10" spans="1:5" ht="6" customHeight="1" x14ac:dyDescent="0.25">
      <c r="A10" s="57"/>
      <c r="B10" s="9"/>
      <c r="C10" s="64"/>
      <c r="D10" s="207"/>
      <c r="E10" s="64"/>
    </row>
    <row r="11" spans="1:5" s="23" customFormat="1" ht="15.6" x14ac:dyDescent="0.3">
      <c r="A11" s="12" t="s">
        <v>86</v>
      </c>
      <c r="B11" s="12"/>
      <c r="C11" s="70">
        <f>+C9</f>
        <v>77933</v>
      </c>
      <c r="D11" s="209">
        <f>+D9</f>
        <v>-10000</v>
      </c>
      <c r="E11" s="70">
        <f>+E9</f>
        <v>67933</v>
      </c>
    </row>
    <row r="12" spans="1:5" ht="13.8" thickBot="1" x14ac:dyDescent="0.3">
      <c r="A12" s="103"/>
      <c r="B12" s="103"/>
      <c r="C12" s="9"/>
      <c r="D12" s="207"/>
      <c r="E12" s="9"/>
    </row>
    <row r="13" spans="1:5" ht="16.2" thickBot="1" x14ac:dyDescent="0.35">
      <c r="A13" s="418" t="s">
        <v>90</v>
      </c>
      <c r="B13" s="419"/>
      <c r="C13" s="99" t="s">
        <v>291</v>
      </c>
      <c r="D13" s="190" t="s">
        <v>291</v>
      </c>
      <c r="E13" s="99" t="s">
        <v>291</v>
      </c>
    </row>
    <row r="14" spans="1:5" ht="13.8" x14ac:dyDescent="0.25">
      <c r="A14" s="62">
        <v>71131</v>
      </c>
      <c r="B14" s="78" t="s">
        <v>32</v>
      </c>
      <c r="C14" s="9"/>
      <c r="D14" s="207"/>
      <c r="E14" s="9"/>
    </row>
    <row r="15" spans="1:5" x14ac:dyDescent="0.25">
      <c r="A15" s="20">
        <v>542960</v>
      </c>
      <c r="B15" s="26" t="s">
        <v>31</v>
      </c>
      <c r="C15" s="66">
        <v>84086</v>
      </c>
      <c r="D15" s="207">
        <v>-10000</v>
      </c>
      <c r="E15" s="66">
        <f>SUM(C15:D15)</f>
        <v>74086</v>
      </c>
    </row>
    <row r="16" spans="1:5" x14ac:dyDescent="0.25">
      <c r="A16" s="6"/>
      <c r="B16" s="6" t="s">
        <v>9</v>
      </c>
      <c r="C16" s="65">
        <f>SUM(C15:C15)</f>
        <v>84086</v>
      </c>
      <c r="D16" s="208">
        <f>SUM(D15:D15)</f>
        <v>-10000</v>
      </c>
      <c r="E16" s="65">
        <f>SUM(E15:E15)</f>
        <v>74086</v>
      </c>
    </row>
    <row r="17" spans="1:8" ht="6" customHeight="1" x14ac:dyDescent="0.25">
      <c r="A17" s="6"/>
      <c r="B17" s="6"/>
      <c r="C17" s="65"/>
      <c r="D17" s="208"/>
      <c r="E17" s="65"/>
    </row>
    <row r="18" spans="1:8" ht="15.6" x14ac:dyDescent="0.3">
      <c r="A18" s="12" t="s">
        <v>268</v>
      </c>
      <c r="B18" s="12"/>
      <c r="C18" s="70">
        <f>+C16</f>
        <v>84086</v>
      </c>
      <c r="D18" s="209">
        <f>+D16</f>
        <v>-10000</v>
      </c>
      <c r="E18" s="70">
        <f>+E16</f>
        <v>74086</v>
      </c>
    </row>
    <row r="19" spans="1:8" ht="13.8" thickBot="1" x14ac:dyDescent="0.3">
      <c r="A19" s="103"/>
      <c r="B19" s="103"/>
      <c r="C19" s="9"/>
      <c r="D19" s="207"/>
      <c r="E19" s="9"/>
    </row>
    <row r="20" spans="1:8" ht="16.2" thickBot="1" x14ac:dyDescent="0.35">
      <c r="A20" s="418" t="s">
        <v>87</v>
      </c>
      <c r="B20" s="419"/>
      <c r="C20" s="99" t="s">
        <v>291</v>
      </c>
      <c r="D20" s="190" t="s">
        <v>291</v>
      </c>
      <c r="E20" s="99" t="s">
        <v>291</v>
      </c>
    </row>
    <row r="21" spans="1:8" ht="13.8" x14ac:dyDescent="0.25">
      <c r="A21" s="62">
        <v>71132</v>
      </c>
      <c r="B21" s="78" t="s">
        <v>32</v>
      </c>
      <c r="C21" s="9"/>
      <c r="D21" s="207"/>
      <c r="E21" s="9"/>
    </row>
    <row r="22" spans="1:8" x14ac:dyDescent="0.25">
      <c r="A22" s="57">
        <v>542960</v>
      </c>
      <c r="B22" s="9" t="s">
        <v>31</v>
      </c>
      <c r="C22" s="66">
        <v>72612</v>
      </c>
      <c r="D22" s="207">
        <v>-10000</v>
      </c>
      <c r="E22" s="66">
        <f>SUM(C22:D22)</f>
        <v>62612</v>
      </c>
      <c r="H22" s="56"/>
    </row>
    <row r="23" spans="1:8" x14ac:dyDescent="0.25">
      <c r="A23" s="6"/>
      <c r="B23" s="6" t="s">
        <v>88</v>
      </c>
      <c r="C23" s="65">
        <f>SUM(C22:C22)</f>
        <v>72612</v>
      </c>
      <c r="D23" s="208">
        <f>SUM(D22:D22)</f>
        <v>-10000</v>
      </c>
      <c r="E23" s="65">
        <f>SUM(E22:E22)</f>
        <v>62612</v>
      </c>
      <c r="H23" s="56"/>
    </row>
    <row r="24" spans="1:8" ht="6" customHeight="1" x14ac:dyDescent="0.25">
      <c r="A24" s="6"/>
      <c r="B24" s="6"/>
      <c r="C24" s="65"/>
      <c r="D24" s="208"/>
      <c r="E24" s="65"/>
      <c r="H24" s="56"/>
    </row>
    <row r="25" spans="1:8" ht="15.6" x14ac:dyDescent="0.3">
      <c r="A25" s="12" t="s">
        <v>89</v>
      </c>
      <c r="B25" s="12"/>
      <c r="C25" s="70">
        <f>+C23</f>
        <v>72612</v>
      </c>
      <c r="D25" s="209">
        <f>D23</f>
        <v>-10000</v>
      </c>
      <c r="E25" s="70">
        <f>+E23</f>
        <v>62612</v>
      </c>
    </row>
    <row r="26" spans="1:8" ht="13.8" thickBot="1" x14ac:dyDescent="0.3">
      <c r="A26" s="103"/>
      <c r="B26" s="103"/>
      <c r="C26" s="9"/>
      <c r="D26" s="207"/>
      <c r="E26" s="9"/>
    </row>
    <row r="27" spans="1:8" ht="16.2" thickBot="1" x14ac:dyDescent="0.35">
      <c r="A27" s="416" t="s">
        <v>91</v>
      </c>
      <c r="B27" s="417"/>
      <c r="C27" s="68" t="s">
        <v>291</v>
      </c>
      <c r="D27" s="221" t="s">
        <v>291</v>
      </c>
      <c r="E27" s="68" t="s">
        <v>291</v>
      </c>
    </row>
    <row r="28" spans="1:8" ht="13.8" x14ac:dyDescent="0.25">
      <c r="A28" s="62">
        <v>71133</v>
      </c>
      <c r="B28" s="78" t="s">
        <v>32</v>
      </c>
      <c r="C28" s="9"/>
      <c r="D28" s="207"/>
      <c r="E28" s="9"/>
    </row>
    <row r="29" spans="1:8" x14ac:dyDescent="0.25">
      <c r="A29" s="57">
        <v>542960</v>
      </c>
      <c r="B29" s="9" t="s">
        <v>31</v>
      </c>
      <c r="C29" s="66">
        <v>76970</v>
      </c>
      <c r="D29" s="207">
        <v>-10000</v>
      </c>
      <c r="E29" s="66">
        <f>SUM(C29:D29)</f>
        <v>66970</v>
      </c>
    </row>
    <row r="30" spans="1:8" x14ac:dyDescent="0.25">
      <c r="A30" s="6"/>
      <c r="B30" s="6" t="s">
        <v>9</v>
      </c>
      <c r="C30" s="65">
        <f>SUM(C29:C29)</f>
        <v>76970</v>
      </c>
      <c r="D30" s="208">
        <f>SUM(D29:D29)</f>
        <v>-10000</v>
      </c>
      <c r="E30" s="65">
        <f>SUM(E29:E29)</f>
        <v>66970</v>
      </c>
    </row>
    <row r="31" spans="1:8" ht="6" customHeight="1" x14ac:dyDescent="0.25">
      <c r="A31" s="57"/>
      <c r="B31" s="9"/>
      <c r="C31" s="64"/>
      <c r="D31" s="207"/>
      <c r="E31" s="64"/>
    </row>
    <row r="32" spans="1:8" ht="15.6" x14ac:dyDescent="0.3">
      <c r="A32" s="12" t="s">
        <v>92</v>
      </c>
      <c r="B32" s="12"/>
      <c r="C32" s="70">
        <f>+C30</f>
        <v>76970</v>
      </c>
      <c r="D32" s="209">
        <f>+D30</f>
        <v>-10000</v>
      </c>
      <c r="E32" s="70">
        <f>+E30</f>
        <v>66970</v>
      </c>
    </row>
    <row r="33" spans="1:7" ht="13.8" thickBot="1" x14ac:dyDescent="0.3">
      <c r="A33" s="103"/>
      <c r="B33" s="103"/>
      <c r="C33" s="9"/>
      <c r="D33" s="207"/>
      <c r="E33" s="9"/>
    </row>
    <row r="34" spans="1:7" ht="16.2" thickBot="1" x14ac:dyDescent="0.35">
      <c r="A34" s="416" t="s">
        <v>83</v>
      </c>
      <c r="B34" s="417"/>
      <c r="C34" s="68" t="s">
        <v>291</v>
      </c>
      <c r="D34" s="221" t="s">
        <v>291</v>
      </c>
      <c r="E34" s="68" t="s">
        <v>291</v>
      </c>
    </row>
    <row r="35" spans="1:7" ht="13.8" x14ac:dyDescent="0.25">
      <c r="A35" s="62">
        <v>71135</v>
      </c>
      <c r="B35" s="78" t="s">
        <v>32</v>
      </c>
      <c r="C35" s="9"/>
      <c r="D35" s="207"/>
      <c r="E35" s="9"/>
    </row>
    <row r="36" spans="1:7" x14ac:dyDescent="0.25">
      <c r="A36" s="57">
        <v>542960</v>
      </c>
      <c r="B36" s="9" t="s">
        <v>31</v>
      </c>
      <c r="C36" s="66">
        <v>85114</v>
      </c>
      <c r="D36" s="207">
        <v>-10000</v>
      </c>
      <c r="E36" s="66">
        <f>SUM(C36:D36)</f>
        <v>75114</v>
      </c>
    </row>
    <row r="37" spans="1:7" x14ac:dyDescent="0.25">
      <c r="A37" s="6"/>
      <c r="B37" s="6" t="s">
        <v>9</v>
      </c>
      <c r="C37" s="65">
        <f>SUM(C36:C36)</f>
        <v>85114</v>
      </c>
      <c r="D37" s="208">
        <f>SUM(D36:D36)</f>
        <v>-10000</v>
      </c>
      <c r="E37" s="65">
        <f>SUM(E36:E36)</f>
        <v>75114</v>
      </c>
      <c r="G37" s="56"/>
    </row>
    <row r="38" spans="1:7" ht="6" customHeight="1" x14ac:dyDescent="0.25">
      <c r="A38" s="57"/>
      <c r="B38" s="9"/>
      <c r="C38" s="64"/>
      <c r="D38" s="207"/>
      <c r="E38" s="64"/>
    </row>
    <row r="39" spans="1:7" ht="15.6" x14ac:dyDescent="0.3">
      <c r="A39" s="12" t="s">
        <v>84</v>
      </c>
      <c r="B39" s="12"/>
      <c r="C39" s="70">
        <f>+C37</f>
        <v>85114</v>
      </c>
      <c r="D39" s="278">
        <f>+D37</f>
        <v>-10000</v>
      </c>
      <c r="E39" s="70">
        <f>+E37</f>
        <v>75114</v>
      </c>
    </row>
    <row r="40" spans="1:7" ht="13.8" thickBot="1" x14ac:dyDescent="0.3">
      <c r="D40" s="279"/>
    </row>
    <row r="41" spans="1:7" ht="16.2" thickBot="1" x14ac:dyDescent="0.35">
      <c r="A41" s="416" t="s">
        <v>452</v>
      </c>
      <c r="B41" s="417"/>
      <c r="C41" s="68" t="s">
        <v>291</v>
      </c>
      <c r="D41" s="221" t="s">
        <v>291</v>
      </c>
      <c r="E41" s="68" t="s">
        <v>291</v>
      </c>
    </row>
    <row r="42" spans="1:7" ht="13.8" x14ac:dyDescent="0.25">
      <c r="A42" s="62">
        <v>71139</v>
      </c>
      <c r="B42" s="78" t="s">
        <v>32</v>
      </c>
      <c r="C42" s="9"/>
      <c r="D42" s="207"/>
      <c r="E42" s="9"/>
    </row>
    <row r="43" spans="1:7" x14ac:dyDescent="0.25">
      <c r="A43" s="57">
        <v>542960</v>
      </c>
      <c r="B43" s="9" t="s">
        <v>31</v>
      </c>
      <c r="C43" s="66">
        <v>9522</v>
      </c>
      <c r="D43" s="207">
        <v>0</v>
      </c>
      <c r="E43" s="66">
        <f>SUM(C43:D43)</f>
        <v>9522</v>
      </c>
    </row>
    <row r="44" spans="1:7" x14ac:dyDescent="0.25">
      <c r="A44" s="6"/>
      <c r="B44" s="6" t="s">
        <v>9</v>
      </c>
      <c r="C44" s="65">
        <f>SUM(C43:C43)</f>
        <v>9522</v>
      </c>
      <c r="D44" s="208">
        <f>SUM(D43:D43)</f>
        <v>0</v>
      </c>
      <c r="E44" s="65">
        <f>SUM(E43:E43)</f>
        <v>9522</v>
      </c>
    </row>
    <row r="45" spans="1:7" x14ac:dyDescent="0.25">
      <c r="A45" s="57"/>
      <c r="B45" s="9"/>
      <c r="C45" s="64"/>
      <c r="D45" s="207"/>
      <c r="E45" s="64"/>
    </row>
    <row r="46" spans="1:7" x14ac:dyDescent="0.25">
      <c r="A46" s="57">
        <v>552400</v>
      </c>
      <c r="B46" s="9" t="s">
        <v>11</v>
      </c>
      <c r="C46" s="66">
        <v>4353</v>
      </c>
      <c r="D46" s="207"/>
      <c r="E46" s="66">
        <f>SUM(C46:D46)</f>
        <v>4353</v>
      </c>
    </row>
    <row r="47" spans="1:7" x14ac:dyDescent="0.25">
      <c r="A47" s="10"/>
      <c r="B47" s="6" t="s">
        <v>12</v>
      </c>
      <c r="C47" s="65">
        <f>SUM(C46)</f>
        <v>4353</v>
      </c>
      <c r="D47" s="208">
        <f>SUM(D46)</f>
        <v>0</v>
      </c>
      <c r="E47" s="65">
        <f>SUM(E46)</f>
        <v>4353</v>
      </c>
    </row>
    <row r="48" spans="1:7" ht="6" customHeight="1" x14ac:dyDescent="0.25">
      <c r="A48" s="9"/>
      <c r="B48" s="9"/>
      <c r="C48" s="64"/>
      <c r="D48" s="207"/>
      <c r="E48" s="64"/>
    </row>
    <row r="49" spans="1:5" ht="15.6" x14ac:dyDescent="0.3">
      <c r="A49" s="12" t="s">
        <v>453</v>
      </c>
      <c r="B49" s="12"/>
      <c r="C49" s="70">
        <f>+C47+C44</f>
        <v>13875</v>
      </c>
      <c r="D49" s="278">
        <f>+D47+D44</f>
        <v>0</v>
      </c>
      <c r="E49" s="70">
        <f>+E47+E44</f>
        <v>13875</v>
      </c>
    </row>
    <row r="50" spans="1:5" ht="13.8" thickBot="1" x14ac:dyDescent="0.3">
      <c r="D50" s="279"/>
    </row>
    <row r="51" spans="1:5" ht="16.2" thickBot="1" x14ac:dyDescent="0.35">
      <c r="A51" s="416" t="s">
        <v>454</v>
      </c>
      <c r="B51" s="417"/>
      <c r="C51" s="68" t="s">
        <v>291</v>
      </c>
      <c r="D51" s="221" t="s">
        <v>291</v>
      </c>
      <c r="E51" s="68" t="s">
        <v>291</v>
      </c>
    </row>
    <row r="52" spans="1:5" ht="13.8" x14ac:dyDescent="0.25">
      <c r="A52" s="62">
        <v>71140</v>
      </c>
      <c r="B52" s="78" t="s">
        <v>32</v>
      </c>
      <c r="C52" s="9"/>
      <c r="D52" s="207"/>
      <c r="E52" s="9"/>
    </row>
    <row r="53" spans="1:5" x14ac:dyDescent="0.25">
      <c r="A53" s="57">
        <v>542960</v>
      </c>
      <c r="B53" s="9" t="s">
        <v>31</v>
      </c>
      <c r="C53" s="66">
        <v>70000</v>
      </c>
      <c r="D53" s="207">
        <v>-10000</v>
      </c>
      <c r="E53" s="66">
        <f>SUM(C53:D53)</f>
        <v>60000</v>
      </c>
    </row>
    <row r="54" spans="1:5" x14ac:dyDescent="0.25">
      <c r="A54" s="6"/>
      <c r="B54" s="6" t="s">
        <v>9</v>
      </c>
      <c r="C54" s="65">
        <f>SUM(C53:C53)</f>
        <v>70000</v>
      </c>
      <c r="D54" s="208">
        <f>SUM(D53:D53)</f>
        <v>-10000</v>
      </c>
      <c r="E54" s="65">
        <f>SUM(E53:E53)</f>
        <v>60000</v>
      </c>
    </row>
    <row r="55" spans="1:5" ht="6" customHeight="1" x14ac:dyDescent="0.25">
      <c r="A55" s="57"/>
      <c r="B55" s="9"/>
      <c r="C55" s="64"/>
      <c r="D55" s="207"/>
      <c r="E55" s="64"/>
    </row>
    <row r="56" spans="1:5" ht="15.6" x14ac:dyDescent="0.3">
      <c r="A56" s="12" t="s">
        <v>455</v>
      </c>
      <c r="B56" s="12"/>
      <c r="C56" s="70">
        <f>+C54</f>
        <v>70000</v>
      </c>
      <c r="D56" s="278">
        <f>+D54</f>
        <v>-10000</v>
      </c>
      <c r="E56" s="70">
        <f>+E54</f>
        <v>60000</v>
      </c>
    </row>
    <row r="57" spans="1:5" ht="13.8" thickBot="1" x14ac:dyDescent="0.3">
      <c r="D57" s="279"/>
    </row>
    <row r="58" spans="1:5" ht="16.2" thickBot="1" x14ac:dyDescent="0.35">
      <c r="A58" s="416" t="s">
        <v>456</v>
      </c>
      <c r="B58" s="417"/>
      <c r="C58" s="68" t="s">
        <v>291</v>
      </c>
      <c r="D58" s="221" t="s">
        <v>291</v>
      </c>
      <c r="E58" s="68" t="s">
        <v>291</v>
      </c>
    </row>
    <row r="59" spans="1:5" ht="13.8" x14ac:dyDescent="0.25">
      <c r="A59" s="62">
        <v>71141</v>
      </c>
      <c r="B59" s="78" t="s">
        <v>32</v>
      </c>
      <c r="C59" s="9"/>
      <c r="D59" s="207"/>
      <c r="E59" s="9"/>
    </row>
    <row r="60" spans="1:5" x14ac:dyDescent="0.25">
      <c r="A60" s="57">
        <v>542960</v>
      </c>
      <c r="B60" s="9" t="s">
        <v>31</v>
      </c>
      <c r="C60" s="66">
        <f>74000-45000</f>
        <v>29000</v>
      </c>
      <c r="D60" s="207">
        <v>-10000</v>
      </c>
      <c r="E60" s="66">
        <f>SUM(C60:D60)</f>
        <v>19000</v>
      </c>
    </row>
    <row r="61" spans="1:5" x14ac:dyDescent="0.25">
      <c r="A61" s="6"/>
      <c r="B61" s="6" t="s">
        <v>9</v>
      </c>
      <c r="C61" s="65">
        <f>SUM(C60:C60)</f>
        <v>29000</v>
      </c>
      <c r="D61" s="208">
        <f>SUM(D60:D60)</f>
        <v>-10000</v>
      </c>
      <c r="E61" s="65">
        <f>SUM(E60:E60)</f>
        <v>19000</v>
      </c>
    </row>
    <row r="62" spans="1:5" x14ac:dyDescent="0.25">
      <c r="A62" s="57"/>
      <c r="B62" s="9"/>
      <c r="C62" s="64"/>
      <c r="D62" s="207"/>
      <c r="E62" s="64"/>
    </row>
    <row r="63" spans="1:5" ht="15.6" x14ac:dyDescent="0.3">
      <c r="A63" s="12" t="s">
        <v>457</v>
      </c>
      <c r="B63" s="12"/>
      <c r="C63" s="70">
        <f>+C61</f>
        <v>29000</v>
      </c>
      <c r="D63" s="278">
        <f>+D61</f>
        <v>-10000</v>
      </c>
      <c r="E63" s="70">
        <f>+E61</f>
        <v>19000</v>
      </c>
    </row>
    <row r="64" spans="1:5" ht="13.8" thickBot="1" x14ac:dyDescent="0.3">
      <c r="D64" s="279"/>
    </row>
    <row r="65" spans="1:5" ht="16.2" thickBot="1" x14ac:dyDescent="0.35">
      <c r="A65" s="416" t="s">
        <v>476</v>
      </c>
      <c r="B65" s="417"/>
      <c r="C65" s="68" t="s">
        <v>291</v>
      </c>
      <c r="D65" s="221" t="s">
        <v>291</v>
      </c>
      <c r="E65" s="68" t="s">
        <v>291</v>
      </c>
    </row>
    <row r="66" spans="1:5" ht="13.8" x14ac:dyDescent="0.25">
      <c r="A66" s="62">
        <v>71142</v>
      </c>
      <c r="B66" s="78" t="s">
        <v>32</v>
      </c>
      <c r="C66" s="9"/>
      <c r="D66" s="207"/>
      <c r="E66" s="9"/>
    </row>
    <row r="67" spans="1:5" x14ac:dyDescent="0.25">
      <c r="A67" s="57">
        <v>542960</v>
      </c>
      <c r="B67" s="9" t="s">
        <v>31</v>
      </c>
      <c r="C67" s="66">
        <v>65000</v>
      </c>
      <c r="D67" s="207">
        <v>-10000</v>
      </c>
      <c r="E67" s="66">
        <f>SUM(C67:D67)</f>
        <v>55000</v>
      </c>
    </row>
    <row r="68" spans="1:5" x14ac:dyDescent="0.25">
      <c r="A68" s="6"/>
      <c r="B68" s="6" t="s">
        <v>9</v>
      </c>
      <c r="C68" s="65">
        <f>SUM(C67:C67)</f>
        <v>65000</v>
      </c>
      <c r="D68" s="208">
        <f>SUM(D67:D67)</f>
        <v>-10000</v>
      </c>
      <c r="E68" s="65">
        <f>SUM(E67:E67)</f>
        <v>55000</v>
      </c>
    </row>
    <row r="69" spans="1:5" ht="6" customHeight="1" x14ac:dyDescent="0.25">
      <c r="A69" s="57"/>
      <c r="B69" s="9"/>
      <c r="C69" s="64"/>
      <c r="D69" s="207"/>
      <c r="E69" s="64"/>
    </row>
    <row r="70" spans="1:5" ht="15.6" x14ac:dyDescent="0.3">
      <c r="A70" s="12" t="s">
        <v>477</v>
      </c>
      <c r="B70" s="12"/>
      <c r="C70" s="70">
        <f>+C68</f>
        <v>65000</v>
      </c>
      <c r="D70" s="278">
        <f>+D68</f>
        <v>-10000</v>
      </c>
      <c r="E70" s="70">
        <f>+E68</f>
        <v>55000</v>
      </c>
    </row>
    <row r="71" spans="1:5" ht="13.8" thickBot="1" x14ac:dyDescent="0.3">
      <c r="D71" s="279"/>
    </row>
    <row r="72" spans="1:5" ht="16.2" thickBot="1" x14ac:dyDescent="0.35">
      <c r="A72" s="121" t="s">
        <v>458</v>
      </c>
      <c r="B72" s="122"/>
      <c r="C72" s="123">
        <f>+C11+C18+C25+C32+C39+C49+C56+C63+C70</f>
        <v>574590</v>
      </c>
      <c r="D72" s="280">
        <f>+D11+D18+D25+D32+D39+D49+D56+D63+D70</f>
        <v>-80000</v>
      </c>
      <c r="E72" s="124">
        <f>+E11+E18+E25+E32+E39+E49+E56+E63+E70</f>
        <v>494590</v>
      </c>
    </row>
  </sheetData>
  <mergeCells count="9">
    <mergeCell ref="A51:B51"/>
    <mergeCell ref="A65:B65"/>
    <mergeCell ref="A34:B34"/>
    <mergeCell ref="A4:B4"/>
    <mergeCell ref="A13:B13"/>
    <mergeCell ref="A20:B20"/>
    <mergeCell ref="A27:B27"/>
    <mergeCell ref="A41:B41"/>
    <mergeCell ref="A58:B58"/>
  </mergeCells>
  <phoneticPr fontId="0" type="noConversion"/>
  <printOptions horizontalCentered="1"/>
  <pageMargins left="0.75" right="0.75" top="0.75" bottom="0.75" header="0.5" footer="0.5"/>
  <pageSetup scale="72" firstPageNumber="28" orientation="portrait" useFirstPageNumber="1" r:id="rId1"/>
  <headerFooter alignWithMargins="0">
    <oddFooter>&amp;C&amp;"Arial,Bold"&amp;P</oddFooter>
  </headerFooter>
  <ignoredErrors>
    <ignoredError sqref="D25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02"/>
  <sheetViews>
    <sheetView topLeftCell="A55" zoomScaleNormal="100" workbookViewId="0">
      <selection activeCell="C69" sqref="C69"/>
    </sheetView>
  </sheetViews>
  <sheetFormatPr defaultRowHeight="13.2" x14ac:dyDescent="0.25"/>
  <cols>
    <col min="1" max="1" width="50.33203125" customWidth="1"/>
    <col min="2" max="2" width="17.88671875" style="142" customWidth="1"/>
    <col min="3" max="5" width="17.88671875" customWidth="1"/>
    <col min="6" max="6" width="15.109375" style="230" customWidth="1"/>
    <col min="7" max="7" width="14.5546875" style="184" customWidth="1"/>
    <col min="8" max="8" width="11.109375" style="144" customWidth="1"/>
    <col min="9" max="9" width="13.109375" style="144" customWidth="1"/>
    <col min="12" max="12" width="12" customWidth="1"/>
    <col min="15" max="15" width="24" customWidth="1"/>
    <col min="16" max="16" width="14" customWidth="1"/>
    <col min="24" max="24" width="18.33203125" customWidth="1"/>
    <col min="25" max="25" width="1.5546875" customWidth="1"/>
    <col min="26" max="26" width="10.88671875" customWidth="1"/>
    <col min="27" max="27" width="1.5546875" customWidth="1"/>
    <col min="28" max="29" width="10.88671875" customWidth="1"/>
  </cols>
  <sheetData>
    <row r="1" spans="1:22" ht="17.399999999999999" x14ac:dyDescent="0.3">
      <c r="A1" s="266" t="s">
        <v>261</v>
      </c>
      <c r="B1" s="138"/>
      <c r="C1" s="126"/>
      <c r="F1" s="228"/>
      <c r="S1" s="184"/>
      <c r="T1" s="127"/>
      <c r="U1" s="144"/>
      <c r="V1" s="144"/>
    </row>
    <row r="2" spans="1:22" ht="17.399999999999999" x14ac:dyDescent="0.3">
      <c r="A2" s="266" t="s">
        <v>512</v>
      </c>
      <c r="B2" s="138"/>
      <c r="F2" s="228"/>
      <c r="S2" s="184"/>
      <c r="T2" s="127"/>
      <c r="U2" s="144"/>
      <c r="V2" s="144"/>
    </row>
    <row r="3" spans="1:22" ht="18" thickBot="1" x14ac:dyDescent="0.35">
      <c r="A3" s="266"/>
      <c r="B3" s="138"/>
      <c r="F3" s="228"/>
      <c r="S3" s="184"/>
      <c r="T3" s="127"/>
      <c r="U3" s="144"/>
      <c r="V3" s="144"/>
    </row>
    <row r="4" spans="1:22" ht="14.4" thickBot="1" x14ac:dyDescent="0.3">
      <c r="B4"/>
      <c r="C4" s="139"/>
      <c r="D4" s="320" t="s">
        <v>318</v>
      </c>
      <c r="F4" s="228"/>
      <c r="S4" s="184"/>
      <c r="T4" s="127"/>
      <c r="U4" s="398" t="s">
        <v>343</v>
      </c>
      <c r="V4" s="399"/>
    </row>
    <row r="5" spans="1:22" ht="13.8" x14ac:dyDescent="0.25">
      <c r="A5" s="128"/>
      <c r="B5" s="129"/>
      <c r="C5" s="139"/>
      <c r="D5" s="321" t="s">
        <v>511</v>
      </c>
      <c r="F5" s="229"/>
      <c r="S5" s="187"/>
      <c r="T5" s="130"/>
      <c r="U5" s="400" t="s">
        <v>329</v>
      </c>
      <c r="V5" s="401"/>
    </row>
    <row r="6" spans="1:22" ht="15.6" x14ac:dyDescent="0.3">
      <c r="A6" s="128"/>
      <c r="B6" s="129" t="s">
        <v>345</v>
      </c>
      <c r="C6" s="140" t="s">
        <v>319</v>
      </c>
      <c r="D6" s="322" t="s">
        <v>503</v>
      </c>
      <c r="E6" s="143"/>
      <c r="F6" s="131" t="s">
        <v>326</v>
      </c>
      <c r="S6" s="184" t="s">
        <v>330</v>
      </c>
      <c r="T6" s="132"/>
      <c r="U6" s="402" t="s">
        <v>327</v>
      </c>
      <c r="V6" s="403"/>
    </row>
    <row r="7" spans="1:22" ht="16.2" thickBot="1" x14ac:dyDescent="0.35">
      <c r="A7" s="134" t="s">
        <v>323</v>
      </c>
      <c r="B7" s="135" t="s">
        <v>290</v>
      </c>
      <c r="C7" s="345" t="s">
        <v>317</v>
      </c>
      <c r="D7" s="323" t="s">
        <v>290</v>
      </c>
      <c r="E7" s="346" t="s">
        <v>492</v>
      </c>
      <c r="F7" s="133" t="s">
        <v>322</v>
      </c>
      <c r="S7" s="185" t="s">
        <v>344</v>
      </c>
      <c r="T7" s="136"/>
      <c r="U7" s="146" t="s">
        <v>324</v>
      </c>
      <c r="V7" s="147" t="s">
        <v>325</v>
      </c>
    </row>
    <row r="8" spans="1:22" ht="12" customHeight="1" x14ac:dyDescent="0.25">
      <c r="A8" s="56"/>
      <c r="B8" s="120"/>
      <c r="C8" s="141"/>
      <c r="D8" s="324"/>
      <c r="E8" s="230"/>
      <c r="F8"/>
      <c r="S8" s="184"/>
      <c r="U8" s="144"/>
      <c r="V8" s="144"/>
    </row>
    <row r="9" spans="1:22" ht="13.8" x14ac:dyDescent="0.25">
      <c r="A9" s="170" t="s">
        <v>36</v>
      </c>
      <c r="B9" s="160">
        <f>+Regular!C31</f>
        <v>205039739</v>
      </c>
      <c r="C9" s="161">
        <f>+Regular!D31</f>
        <v>2875303</v>
      </c>
      <c r="D9" s="325">
        <f t="shared" ref="D9:D40" si="0">SUM(B9:C9)</f>
        <v>207915042</v>
      </c>
      <c r="E9" s="376">
        <f t="shared" ref="E9:E41" si="1">+(D9-B9)/B9</f>
        <v>1.4023149922171916E-2</v>
      </c>
      <c r="F9" s="305">
        <v>4</v>
      </c>
      <c r="S9" s="197"/>
      <c r="T9" s="198"/>
      <c r="U9" s="199"/>
      <c r="V9" s="199"/>
    </row>
    <row r="10" spans="1:22" ht="13.8" x14ac:dyDescent="0.25">
      <c r="A10" s="172" t="s">
        <v>347</v>
      </c>
      <c r="B10" s="174">
        <f>+Support!C37</f>
        <v>12906086</v>
      </c>
      <c r="C10" s="175">
        <f>+Support!D37</f>
        <v>78955</v>
      </c>
      <c r="D10" s="325">
        <f t="shared" si="0"/>
        <v>12985041</v>
      </c>
      <c r="E10" s="376">
        <f t="shared" si="1"/>
        <v>6.117656429687513E-3</v>
      </c>
      <c r="F10" s="306">
        <v>5</v>
      </c>
      <c r="S10" s="188"/>
      <c r="T10" s="172"/>
      <c r="U10" s="205">
        <v>-3</v>
      </c>
      <c r="V10" s="173">
        <v>-8</v>
      </c>
    </row>
    <row r="11" spans="1:22" ht="13.8" x14ac:dyDescent="0.25">
      <c r="A11" s="170" t="s">
        <v>463</v>
      </c>
      <c r="B11" s="160">
        <f>+Humanities!C17</f>
        <v>6000</v>
      </c>
      <c r="C11" s="160">
        <f>+Humanities!D17</f>
        <v>0</v>
      </c>
      <c r="D11" s="325">
        <f t="shared" si="0"/>
        <v>6000</v>
      </c>
      <c r="E11" s="376">
        <f t="shared" si="1"/>
        <v>0</v>
      </c>
      <c r="F11" s="305">
        <v>6</v>
      </c>
      <c r="S11" s="188"/>
      <c r="T11" s="172"/>
      <c r="U11" s="205"/>
      <c r="V11" s="173"/>
    </row>
    <row r="12" spans="1:22" ht="13.8" x14ac:dyDescent="0.25">
      <c r="A12" s="172" t="s">
        <v>158</v>
      </c>
      <c r="B12" s="174">
        <f>+Art!C34</f>
        <v>245732</v>
      </c>
      <c r="C12" s="175">
        <f>+Art!D34</f>
        <v>-21089</v>
      </c>
      <c r="D12" s="325">
        <f t="shared" si="0"/>
        <v>224643</v>
      </c>
      <c r="E12" s="377">
        <f t="shared" si="1"/>
        <v>-8.5821138476063347E-2</v>
      </c>
      <c r="F12" s="306">
        <v>7</v>
      </c>
      <c r="S12" s="188"/>
      <c r="T12" s="172"/>
      <c r="U12" s="173"/>
      <c r="V12" s="173"/>
    </row>
    <row r="13" spans="1:22" ht="13.8" x14ac:dyDescent="0.25">
      <c r="A13" s="172" t="s">
        <v>141</v>
      </c>
      <c r="B13" s="174">
        <f>+Elem!C35</f>
        <v>1062579</v>
      </c>
      <c r="C13" s="175">
        <f>+Elem!D35</f>
        <v>-148439</v>
      </c>
      <c r="D13" s="325">
        <f t="shared" si="0"/>
        <v>914140</v>
      </c>
      <c r="E13" s="377">
        <f t="shared" si="1"/>
        <v>-0.13969690724172037</v>
      </c>
      <c r="F13" s="305">
        <v>8</v>
      </c>
      <c r="S13" s="188"/>
      <c r="T13" s="172"/>
      <c r="U13" s="173"/>
      <c r="V13" s="173"/>
    </row>
    <row r="14" spans="1:22" ht="13.8" x14ac:dyDescent="0.25">
      <c r="A14" s="172" t="s">
        <v>162</v>
      </c>
      <c r="B14" s="174">
        <f>+Middle!C31</f>
        <v>463030</v>
      </c>
      <c r="C14" s="175">
        <f>+Middle!D31</f>
        <v>-48223</v>
      </c>
      <c r="D14" s="325">
        <f t="shared" si="0"/>
        <v>414807</v>
      </c>
      <c r="E14" s="377">
        <f t="shared" si="1"/>
        <v>-0.10414659957238193</v>
      </c>
      <c r="F14" s="306">
        <v>9</v>
      </c>
      <c r="S14" s="188"/>
      <c r="T14" s="172"/>
      <c r="U14" s="173"/>
      <c r="V14" s="173"/>
    </row>
    <row r="15" spans="1:22" ht="13.8" x14ac:dyDescent="0.25">
      <c r="A15" s="172" t="s">
        <v>131</v>
      </c>
      <c r="B15" s="174">
        <f>+Sec!C39</f>
        <v>1059220</v>
      </c>
      <c r="C15" s="175">
        <f>+Sec!D39</f>
        <v>-60338</v>
      </c>
      <c r="D15" s="325">
        <f t="shared" si="0"/>
        <v>998882</v>
      </c>
      <c r="E15" s="377">
        <f t="shared" si="1"/>
        <v>-5.6964558826306147E-2</v>
      </c>
      <c r="F15" s="305">
        <v>10</v>
      </c>
      <c r="S15" s="188"/>
      <c r="T15" s="172"/>
      <c r="U15" s="173"/>
      <c r="V15" s="173"/>
    </row>
    <row r="16" spans="1:22" ht="13.8" x14ac:dyDescent="0.25">
      <c r="A16" s="172" t="s">
        <v>118</v>
      </c>
      <c r="B16" s="174">
        <f>+Business!C16</f>
        <v>63918</v>
      </c>
      <c r="C16" s="175">
        <f>+Business!D16</f>
        <v>-10665</v>
      </c>
      <c r="D16" s="325">
        <f t="shared" si="0"/>
        <v>53253</v>
      </c>
      <c r="E16" s="377">
        <f t="shared" si="1"/>
        <v>-0.16685440720923683</v>
      </c>
      <c r="F16" s="306">
        <v>11</v>
      </c>
      <c r="S16" s="188"/>
      <c r="T16" s="172"/>
      <c r="U16" s="173"/>
      <c r="V16" s="173"/>
    </row>
    <row r="17" spans="1:22" ht="13.8" x14ac:dyDescent="0.25">
      <c r="A17" s="172" t="s">
        <v>253</v>
      </c>
      <c r="B17" s="174">
        <f>+World!C23</f>
        <v>17000</v>
      </c>
      <c r="C17" s="175">
        <f>+World!D23</f>
        <v>0</v>
      </c>
      <c r="D17" s="325">
        <f t="shared" si="0"/>
        <v>17000</v>
      </c>
      <c r="E17" s="376">
        <f t="shared" si="1"/>
        <v>0</v>
      </c>
      <c r="F17" s="305">
        <v>12</v>
      </c>
      <c r="S17" s="188"/>
      <c r="T17" s="172"/>
      <c r="U17" s="173"/>
      <c r="V17" s="173"/>
    </row>
    <row r="18" spans="1:22" ht="13.8" x14ac:dyDescent="0.25">
      <c r="A18" s="172" t="s">
        <v>98</v>
      </c>
      <c r="B18" s="174">
        <f>+Health!C13</f>
        <v>4324</v>
      </c>
      <c r="C18" s="175">
        <f>+Health!D13</f>
        <v>0</v>
      </c>
      <c r="D18" s="325">
        <f t="shared" si="0"/>
        <v>4324</v>
      </c>
      <c r="E18" s="376">
        <f t="shared" si="1"/>
        <v>0</v>
      </c>
      <c r="F18" s="306">
        <v>13</v>
      </c>
      <c r="S18" s="188"/>
      <c r="T18" s="172"/>
      <c r="U18" s="173"/>
      <c r="V18" s="173"/>
    </row>
    <row r="19" spans="1:22" ht="13.8" x14ac:dyDescent="0.25">
      <c r="A19" s="172" t="s">
        <v>164</v>
      </c>
      <c r="B19" s="174">
        <f>+Kinder!C13</f>
        <v>62266</v>
      </c>
      <c r="C19" s="175">
        <f>+Kinder!D13</f>
        <v>3500</v>
      </c>
      <c r="D19" s="325">
        <f t="shared" si="0"/>
        <v>65766</v>
      </c>
      <c r="E19" s="376">
        <f t="shared" si="1"/>
        <v>5.6210451932033535E-2</v>
      </c>
      <c r="F19" s="305">
        <v>14</v>
      </c>
      <c r="S19" s="188"/>
      <c r="T19" s="172"/>
      <c r="U19" s="173"/>
      <c r="V19" s="173"/>
    </row>
    <row r="20" spans="1:22" ht="13.8" x14ac:dyDescent="0.25">
      <c r="A20" s="172" t="s">
        <v>166</v>
      </c>
      <c r="B20" s="174">
        <f>+LArts!C32</f>
        <v>46339</v>
      </c>
      <c r="C20" s="175">
        <f>+LArts!D32</f>
        <v>0</v>
      </c>
      <c r="D20" s="325">
        <f t="shared" si="0"/>
        <v>46339</v>
      </c>
      <c r="E20" s="376">
        <f t="shared" si="1"/>
        <v>0</v>
      </c>
      <c r="F20" s="306">
        <v>15</v>
      </c>
      <c r="S20" s="188"/>
      <c r="T20" s="172"/>
      <c r="U20" s="173"/>
      <c r="V20" s="173"/>
    </row>
    <row r="21" spans="1:22" ht="13.8" x14ac:dyDescent="0.25">
      <c r="A21" s="172" t="s">
        <v>95</v>
      </c>
      <c r="B21" s="174">
        <f>+Math!C25</f>
        <v>86366</v>
      </c>
      <c r="C21" s="175">
        <f>+Math!D25</f>
        <v>0</v>
      </c>
      <c r="D21" s="325">
        <f t="shared" si="0"/>
        <v>86366</v>
      </c>
      <c r="E21" s="376">
        <f t="shared" si="1"/>
        <v>0</v>
      </c>
      <c r="F21" s="305">
        <v>16</v>
      </c>
      <c r="S21" s="188"/>
      <c r="T21" s="172"/>
      <c r="U21" s="173"/>
      <c r="V21" s="173"/>
    </row>
    <row r="22" spans="1:22" ht="13.8" x14ac:dyDescent="0.25">
      <c r="A22" s="172" t="s">
        <v>38</v>
      </c>
      <c r="B22" s="174">
        <f>+Choral!C34</f>
        <v>55911</v>
      </c>
      <c r="C22" s="175">
        <f>+Choral!D34</f>
        <v>-4956</v>
      </c>
      <c r="D22" s="325">
        <f t="shared" si="0"/>
        <v>50955</v>
      </c>
      <c r="E22" s="377">
        <f t="shared" si="1"/>
        <v>-8.8640875677415895E-2</v>
      </c>
      <c r="F22" s="306">
        <v>17</v>
      </c>
      <c r="S22" s="188"/>
      <c r="T22" s="172"/>
      <c r="U22" s="173"/>
      <c r="V22" s="173"/>
    </row>
    <row r="23" spans="1:22" ht="13.8" x14ac:dyDescent="0.25">
      <c r="A23" s="172" t="s">
        <v>101</v>
      </c>
      <c r="B23" s="174">
        <f>+PE!C24</f>
        <v>35508</v>
      </c>
      <c r="C23" s="175">
        <f>+PE!D24</f>
        <v>0</v>
      </c>
      <c r="D23" s="325">
        <f t="shared" si="0"/>
        <v>35508</v>
      </c>
      <c r="E23" s="376">
        <f t="shared" si="1"/>
        <v>0</v>
      </c>
      <c r="F23" s="305">
        <v>18</v>
      </c>
      <c r="S23" s="188"/>
      <c r="T23" s="172"/>
      <c r="U23" s="173"/>
      <c r="V23" s="173"/>
    </row>
    <row r="24" spans="1:22" ht="13.8" x14ac:dyDescent="0.25">
      <c r="A24" s="172" t="s">
        <v>312</v>
      </c>
      <c r="B24" s="174">
        <f>+Reading!C23</f>
        <v>88912</v>
      </c>
      <c r="C24" s="175">
        <f>+Reading!D23</f>
        <v>0</v>
      </c>
      <c r="D24" s="325">
        <f t="shared" si="0"/>
        <v>88912</v>
      </c>
      <c r="E24" s="376">
        <f t="shared" si="1"/>
        <v>0</v>
      </c>
      <c r="F24" s="306">
        <v>19</v>
      </c>
      <c r="S24" s="188"/>
      <c r="T24" s="172"/>
      <c r="U24" s="173"/>
      <c r="V24" s="173"/>
    </row>
    <row r="25" spans="1:22" ht="13.8" x14ac:dyDescent="0.25">
      <c r="A25" s="172" t="s">
        <v>313</v>
      </c>
      <c r="B25" s="174">
        <f>+Reading!C50</f>
        <v>42151</v>
      </c>
      <c r="C25" s="175">
        <f>+Reading!D50</f>
        <v>0</v>
      </c>
      <c r="D25" s="325">
        <f t="shared" si="0"/>
        <v>42151</v>
      </c>
      <c r="E25" s="376">
        <f t="shared" si="1"/>
        <v>0</v>
      </c>
      <c r="F25" s="306">
        <v>19</v>
      </c>
      <c r="S25" s="188"/>
      <c r="T25" s="172"/>
      <c r="U25" s="173"/>
      <c r="V25" s="173"/>
    </row>
    <row r="26" spans="1:22" ht="13.8" x14ac:dyDescent="0.25">
      <c r="A26" s="172" t="s">
        <v>146</v>
      </c>
      <c r="B26" s="174">
        <f>+Science!C39</f>
        <v>122083</v>
      </c>
      <c r="C26" s="175">
        <f>+Science!D39</f>
        <v>-12880</v>
      </c>
      <c r="D26" s="325">
        <f t="shared" si="0"/>
        <v>109203</v>
      </c>
      <c r="E26" s="377">
        <f t="shared" si="1"/>
        <v>-0.105501994544695</v>
      </c>
      <c r="F26" s="306">
        <v>20</v>
      </c>
      <c r="S26" s="188"/>
      <c r="T26" s="172"/>
      <c r="U26" s="173"/>
      <c r="V26" s="173"/>
    </row>
    <row r="27" spans="1:22" ht="13.8" x14ac:dyDescent="0.25">
      <c r="A27" s="172" t="s">
        <v>27</v>
      </c>
      <c r="B27" s="174">
        <f>+SocStudies!C31</f>
        <v>46560</v>
      </c>
      <c r="C27" s="175">
        <f>+SocStudies!D31</f>
        <v>0</v>
      </c>
      <c r="D27" s="325">
        <f t="shared" si="0"/>
        <v>46560</v>
      </c>
      <c r="E27" s="376">
        <f t="shared" si="1"/>
        <v>0</v>
      </c>
      <c r="F27" s="306">
        <v>21</v>
      </c>
      <c r="S27" s="188"/>
      <c r="T27" s="172"/>
      <c r="U27" s="173"/>
      <c r="V27" s="173"/>
    </row>
    <row r="28" spans="1:22" ht="13.8" x14ac:dyDescent="0.25">
      <c r="A28" s="172" t="s">
        <v>346</v>
      </c>
      <c r="B28" s="174">
        <f>+GAT!C31</f>
        <v>26877</v>
      </c>
      <c r="C28" s="175">
        <f>+GAT!D31</f>
        <v>0</v>
      </c>
      <c r="D28" s="325">
        <f t="shared" si="0"/>
        <v>26877</v>
      </c>
      <c r="E28" s="376">
        <f t="shared" si="1"/>
        <v>0</v>
      </c>
      <c r="F28" s="306">
        <v>22</v>
      </c>
      <c r="S28" s="188"/>
      <c r="T28" s="172"/>
      <c r="U28" s="173"/>
      <c r="V28" s="173"/>
    </row>
    <row r="29" spans="1:22" ht="13.8" x14ac:dyDescent="0.25">
      <c r="A29" s="172" t="s">
        <v>170</v>
      </c>
      <c r="B29" s="174">
        <f>+InstMusic!C32</f>
        <v>43068</v>
      </c>
      <c r="C29" s="175">
        <f>+InstMusic!D32</f>
        <v>0</v>
      </c>
      <c r="D29" s="325">
        <f t="shared" si="0"/>
        <v>43068</v>
      </c>
      <c r="E29" s="376">
        <f t="shared" si="1"/>
        <v>0</v>
      </c>
      <c r="F29" s="306">
        <v>23</v>
      </c>
      <c r="S29" s="188"/>
      <c r="T29" s="172"/>
      <c r="U29" s="173"/>
      <c r="V29" s="173"/>
    </row>
    <row r="30" spans="1:22" ht="13.8" x14ac:dyDescent="0.25">
      <c r="A30" s="176" t="s">
        <v>180</v>
      </c>
      <c r="B30" s="177">
        <f>+Materials!C13</f>
        <v>108560</v>
      </c>
      <c r="C30" s="178">
        <f>+Materials!D13</f>
        <v>-19471</v>
      </c>
      <c r="D30" s="325">
        <f t="shared" si="0"/>
        <v>89089</v>
      </c>
      <c r="E30" s="377">
        <f t="shared" si="1"/>
        <v>-0.17935703758290347</v>
      </c>
      <c r="F30" s="306">
        <v>24</v>
      </c>
      <c r="S30" s="188"/>
      <c r="T30" s="176"/>
      <c r="U30" s="179"/>
      <c r="V30" s="179"/>
    </row>
    <row r="31" spans="1:22" ht="13.8" x14ac:dyDescent="0.25">
      <c r="A31" s="176" t="s">
        <v>181</v>
      </c>
      <c r="B31" s="177">
        <f>+Driver!C29</f>
        <v>120620</v>
      </c>
      <c r="C31" s="178">
        <f>+Driver!D29</f>
        <v>0</v>
      </c>
      <c r="D31" s="325">
        <f t="shared" si="0"/>
        <v>120620</v>
      </c>
      <c r="E31" s="376">
        <f t="shared" si="1"/>
        <v>0</v>
      </c>
      <c r="F31" s="306">
        <v>25</v>
      </c>
      <c r="S31" s="188"/>
      <c r="T31" s="176"/>
      <c r="U31" s="179"/>
      <c r="V31" s="179"/>
    </row>
    <row r="32" spans="1:22" ht="13.8" x14ac:dyDescent="0.25">
      <c r="A32" s="176" t="s">
        <v>187</v>
      </c>
      <c r="B32" s="177">
        <f>+Screening!C37</f>
        <v>30564</v>
      </c>
      <c r="C32" s="178">
        <f>+Screening!D37</f>
        <v>0</v>
      </c>
      <c r="D32" s="325">
        <f t="shared" si="0"/>
        <v>30564</v>
      </c>
      <c r="E32" s="376">
        <f t="shared" si="1"/>
        <v>0</v>
      </c>
      <c r="F32" s="306">
        <v>26</v>
      </c>
      <c r="S32" s="188"/>
      <c r="T32" s="176"/>
      <c r="U32" s="179"/>
      <c r="V32" s="179"/>
    </row>
    <row r="33" spans="1:22" ht="13.8" x14ac:dyDescent="0.25">
      <c r="A33" s="176" t="s">
        <v>188</v>
      </c>
      <c r="B33" s="177">
        <f>+'504'!C35</f>
        <v>18822</v>
      </c>
      <c r="C33" s="178">
        <f>+'504'!D35</f>
        <v>0</v>
      </c>
      <c r="D33" s="325">
        <f t="shared" si="0"/>
        <v>18822</v>
      </c>
      <c r="E33" s="376">
        <f t="shared" si="1"/>
        <v>0</v>
      </c>
      <c r="F33" s="306">
        <v>27</v>
      </c>
      <c r="S33" s="188"/>
      <c r="T33" s="176"/>
      <c r="U33" s="179"/>
      <c r="V33" s="179"/>
    </row>
    <row r="34" spans="1:22" ht="13.8" x14ac:dyDescent="0.25">
      <c r="A34" s="176" t="s">
        <v>292</v>
      </c>
      <c r="B34" s="177">
        <f>+Magnets!C72</f>
        <v>574590</v>
      </c>
      <c r="C34" s="178">
        <f>+Magnets!D72</f>
        <v>-80000</v>
      </c>
      <c r="D34" s="325">
        <f t="shared" si="0"/>
        <v>494590</v>
      </c>
      <c r="E34" s="377">
        <f t="shared" si="1"/>
        <v>-0.1392297116204598</v>
      </c>
      <c r="F34" s="306">
        <v>28</v>
      </c>
      <c r="S34" s="188"/>
      <c r="T34" s="176"/>
      <c r="U34" s="179"/>
      <c r="V34" s="179"/>
    </row>
    <row r="35" spans="1:22" ht="13.8" x14ac:dyDescent="0.25">
      <c r="A35" s="176" t="s">
        <v>314</v>
      </c>
      <c r="B35" s="177">
        <f>+SAS!C12</f>
        <v>644</v>
      </c>
      <c r="C35" s="178">
        <f>+SAS!D12</f>
        <v>0</v>
      </c>
      <c r="D35" s="325">
        <f t="shared" si="0"/>
        <v>644</v>
      </c>
      <c r="E35" s="376">
        <f t="shared" si="1"/>
        <v>0</v>
      </c>
      <c r="F35" s="306">
        <v>29</v>
      </c>
      <c r="S35" s="188"/>
      <c r="T35" s="176"/>
      <c r="U35" s="179"/>
      <c r="V35" s="179"/>
    </row>
    <row r="36" spans="1:22" ht="13.8" x14ac:dyDescent="0.25">
      <c r="A36" s="176" t="s">
        <v>273</v>
      </c>
      <c r="B36" s="177">
        <f>+Grad!C13</f>
        <v>1241742</v>
      </c>
      <c r="C36" s="178">
        <f>+Grad!D13</f>
        <v>-100000</v>
      </c>
      <c r="D36" s="325">
        <f t="shared" si="0"/>
        <v>1141742</v>
      </c>
      <c r="E36" s="377">
        <f t="shared" si="1"/>
        <v>-8.0532026781730826E-2</v>
      </c>
      <c r="F36" s="306">
        <v>30</v>
      </c>
      <c r="S36" s="188"/>
      <c r="T36" s="176"/>
      <c r="U36" s="179"/>
      <c r="V36" s="179"/>
    </row>
    <row r="37" spans="1:22" ht="13.8" x14ac:dyDescent="0.25">
      <c r="A37" s="176" t="s">
        <v>297</v>
      </c>
      <c r="B37" s="177">
        <f>+'High Needs'!C22</f>
        <v>4875</v>
      </c>
      <c r="C37" s="178">
        <f>+'High Needs'!D22</f>
        <v>0</v>
      </c>
      <c r="D37" s="325">
        <f t="shared" si="0"/>
        <v>4875</v>
      </c>
      <c r="E37" s="376">
        <f t="shared" si="1"/>
        <v>0</v>
      </c>
      <c r="F37" s="306">
        <v>31</v>
      </c>
      <c r="S37" s="188"/>
      <c r="T37" s="176"/>
      <c r="U37" s="179"/>
      <c r="V37" s="179"/>
    </row>
    <row r="38" spans="1:22" ht="13.8" x14ac:dyDescent="0.25">
      <c r="A38" s="176" t="s">
        <v>190</v>
      </c>
      <c r="B38" s="177">
        <f>+Alt!C60</f>
        <v>2522962</v>
      </c>
      <c r="C38" s="178">
        <f>+Alt!D60</f>
        <v>-33231</v>
      </c>
      <c r="D38" s="325">
        <f t="shared" si="0"/>
        <v>2489731</v>
      </c>
      <c r="E38" s="377">
        <f t="shared" si="1"/>
        <v>-1.3171423112991793E-2</v>
      </c>
      <c r="F38" s="306">
        <v>32</v>
      </c>
      <c r="S38" s="188"/>
      <c r="T38" s="176"/>
      <c r="U38" s="179"/>
      <c r="V38" s="179"/>
    </row>
    <row r="39" spans="1:22" ht="13.8" x14ac:dyDescent="0.25">
      <c r="A39" s="176" t="s">
        <v>234</v>
      </c>
      <c r="B39" s="177">
        <f>+SpEdInst!C40</f>
        <v>36978037</v>
      </c>
      <c r="C39" s="178">
        <f>+SpEdInst!D40</f>
        <v>-114434</v>
      </c>
      <c r="D39" s="325">
        <f t="shared" si="0"/>
        <v>36863603</v>
      </c>
      <c r="E39" s="377">
        <f t="shared" si="1"/>
        <v>-3.0946477770034141E-3</v>
      </c>
      <c r="F39" s="306">
        <v>33</v>
      </c>
      <c r="S39" s="188"/>
      <c r="T39" s="176"/>
      <c r="U39" s="179"/>
      <c r="V39" s="179"/>
    </row>
    <row r="40" spans="1:22" ht="13.8" x14ac:dyDescent="0.25">
      <c r="A40" s="172" t="s">
        <v>235</v>
      </c>
      <c r="B40" s="174">
        <f>+SpEdSup!C53</f>
        <v>7612618</v>
      </c>
      <c r="C40" s="175">
        <f>+SpEdSup!D53</f>
        <v>-125766</v>
      </c>
      <c r="D40" s="325">
        <f t="shared" si="0"/>
        <v>7486852</v>
      </c>
      <c r="E40" s="377">
        <f t="shared" si="1"/>
        <v>-1.652072913680944E-2</v>
      </c>
      <c r="F40" s="306">
        <v>34</v>
      </c>
      <c r="S40" s="188"/>
      <c r="T40" s="172"/>
      <c r="U40" s="173"/>
      <c r="V40" s="173"/>
    </row>
    <row r="41" spans="1:22" ht="13.8" x14ac:dyDescent="0.25">
      <c r="A41" s="172" t="s">
        <v>348</v>
      </c>
      <c r="B41" s="174">
        <f>+CTI!C39</f>
        <v>13122898</v>
      </c>
      <c r="C41" s="175">
        <f>+CTI!D39</f>
        <v>22870</v>
      </c>
      <c r="D41" s="325">
        <f t="shared" ref="D41:D72" si="2">SUM(B41:C41)</f>
        <v>13145768</v>
      </c>
      <c r="E41" s="376">
        <f t="shared" si="1"/>
        <v>1.7427552968864043E-3</v>
      </c>
      <c r="F41" s="306">
        <v>35</v>
      </c>
      <c r="S41" s="188"/>
      <c r="T41" s="172"/>
      <c r="U41" s="173"/>
      <c r="V41" s="173"/>
    </row>
    <row r="42" spans="1:22" ht="13.8" x14ac:dyDescent="0.25">
      <c r="A42" s="172" t="s">
        <v>349</v>
      </c>
      <c r="B42" s="174">
        <f>+CTS!C35</f>
        <v>468927</v>
      </c>
      <c r="C42" s="175">
        <f>+CTS!D35</f>
        <v>1506</v>
      </c>
      <c r="D42" s="325">
        <f t="shared" si="2"/>
        <v>470433</v>
      </c>
      <c r="E42" s="376">
        <f t="shared" ref="E42:E73" si="3">+(D42-B42)/B42</f>
        <v>3.2115873046337702E-3</v>
      </c>
      <c r="F42" s="306">
        <v>36</v>
      </c>
      <c r="S42" s="188"/>
      <c r="T42" s="172"/>
      <c r="U42" s="173"/>
      <c r="V42" s="173"/>
    </row>
    <row r="43" spans="1:22" ht="13.8" x14ac:dyDescent="0.25">
      <c r="A43" s="172" t="s">
        <v>315</v>
      </c>
      <c r="B43" s="174">
        <f>+TI!C15</f>
        <v>251686</v>
      </c>
      <c r="C43" s="175">
        <f>+TI!D15</f>
        <v>0</v>
      </c>
      <c r="D43" s="325">
        <f t="shared" si="2"/>
        <v>251686</v>
      </c>
      <c r="E43" s="376">
        <f t="shared" si="3"/>
        <v>0</v>
      </c>
      <c r="F43" s="306">
        <v>37</v>
      </c>
      <c r="S43" s="188"/>
      <c r="T43" s="172"/>
      <c r="U43" s="173"/>
      <c r="V43" s="173"/>
    </row>
    <row r="44" spans="1:22" ht="13.8" x14ac:dyDescent="0.25">
      <c r="A44" s="172" t="s">
        <v>486</v>
      </c>
      <c r="B44" s="174">
        <f>+Literacy!C16</f>
        <v>331304</v>
      </c>
      <c r="C44" s="175">
        <f>+Literacy!D16</f>
        <v>0</v>
      </c>
      <c r="D44" s="325">
        <f t="shared" si="2"/>
        <v>331304</v>
      </c>
      <c r="E44" s="376">
        <f t="shared" si="3"/>
        <v>0</v>
      </c>
      <c r="F44" s="306">
        <v>38</v>
      </c>
      <c r="S44" s="188"/>
      <c r="T44" s="172"/>
      <c r="U44" s="173"/>
      <c r="V44" s="173"/>
    </row>
    <row r="45" spans="1:22" ht="13.8" x14ac:dyDescent="0.25">
      <c r="A45" s="172" t="s">
        <v>172</v>
      </c>
      <c r="B45" s="174">
        <f>+General!C20</f>
        <v>300000</v>
      </c>
      <c r="C45" s="175">
        <f>+General!D20</f>
        <v>-200000</v>
      </c>
      <c r="D45" s="325">
        <f t="shared" si="2"/>
        <v>100000</v>
      </c>
      <c r="E45" s="377">
        <f t="shared" si="3"/>
        <v>-0.66666666666666663</v>
      </c>
      <c r="F45" s="306">
        <v>39</v>
      </c>
      <c r="S45" s="188"/>
      <c r="T45" s="172"/>
      <c r="U45" s="173"/>
      <c r="V45" s="173"/>
    </row>
    <row r="46" spans="1:22" ht="13.8" x14ac:dyDescent="0.25">
      <c r="A46" s="172" t="s">
        <v>176</v>
      </c>
      <c r="B46" s="174">
        <f>+Athletics!C21</f>
        <v>291366</v>
      </c>
      <c r="C46" s="175">
        <f>+Athletics!D21</f>
        <v>0</v>
      </c>
      <c r="D46" s="325">
        <f t="shared" si="2"/>
        <v>291366</v>
      </c>
      <c r="E46" s="376">
        <f t="shared" si="3"/>
        <v>0</v>
      </c>
      <c r="F46" s="306">
        <v>40</v>
      </c>
      <c r="S46" s="188"/>
      <c r="T46" s="172"/>
      <c r="U46" s="173"/>
      <c r="V46" s="173"/>
    </row>
    <row r="47" spans="1:22" ht="13.8" x14ac:dyDescent="0.25">
      <c r="A47" s="172" t="s">
        <v>251</v>
      </c>
      <c r="B47" s="174">
        <f>+Wellness!C19</f>
        <v>18073</v>
      </c>
      <c r="C47" s="175">
        <f>+Wellness!D19</f>
        <v>0</v>
      </c>
      <c r="D47" s="325">
        <f t="shared" si="2"/>
        <v>18073</v>
      </c>
      <c r="E47" s="376">
        <f t="shared" si="3"/>
        <v>0</v>
      </c>
      <c r="F47" s="306">
        <v>41</v>
      </c>
      <c r="S47" s="188"/>
      <c r="T47" s="172"/>
      <c r="U47" s="173"/>
      <c r="V47" s="173"/>
    </row>
    <row r="48" spans="1:22" ht="13.8" x14ac:dyDescent="0.25">
      <c r="A48" s="172" t="s">
        <v>263</v>
      </c>
      <c r="B48" s="174">
        <f>+Instruction!C20</f>
        <v>29280</v>
      </c>
      <c r="C48" s="175">
        <f>+Instruction!D20</f>
        <v>0</v>
      </c>
      <c r="D48" s="325">
        <f t="shared" si="2"/>
        <v>29280</v>
      </c>
      <c r="E48" s="376">
        <f t="shared" si="3"/>
        <v>0</v>
      </c>
      <c r="F48" s="306">
        <v>42</v>
      </c>
      <c r="S48" s="188"/>
      <c r="T48" s="172"/>
      <c r="U48" s="173"/>
      <c r="V48" s="173"/>
    </row>
    <row r="49" spans="1:22" ht="13.8" x14ac:dyDescent="0.25">
      <c r="A49" s="128" t="s">
        <v>50</v>
      </c>
      <c r="B49" s="180">
        <f>+Libraries!C18</f>
        <v>462569</v>
      </c>
      <c r="C49" s="181">
        <f>+Libraries!D18</f>
        <v>0</v>
      </c>
      <c r="D49" s="325">
        <f t="shared" si="2"/>
        <v>462569</v>
      </c>
      <c r="E49" s="376">
        <f t="shared" si="3"/>
        <v>0</v>
      </c>
      <c r="F49" s="306">
        <v>43</v>
      </c>
      <c r="S49" s="188"/>
      <c r="T49" s="128"/>
      <c r="U49" s="182"/>
      <c r="V49" s="182"/>
    </row>
    <row r="50" spans="1:22" ht="13.8" x14ac:dyDescent="0.25">
      <c r="A50" s="172" t="s">
        <v>143</v>
      </c>
      <c r="B50" s="174">
        <f>+Devel!C23</f>
        <v>538489</v>
      </c>
      <c r="C50" s="175">
        <f>+Devel!D23</f>
        <v>0</v>
      </c>
      <c r="D50" s="325">
        <f t="shared" si="2"/>
        <v>538489</v>
      </c>
      <c r="E50" s="376">
        <f t="shared" si="3"/>
        <v>0</v>
      </c>
      <c r="F50" s="306">
        <v>44</v>
      </c>
      <c r="S50" s="188"/>
      <c r="T50" s="172"/>
      <c r="U50" s="173"/>
      <c r="V50" s="173"/>
    </row>
    <row r="51" spans="1:22" ht="13.8" x14ac:dyDescent="0.25">
      <c r="A51" s="172" t="s">
        <v>126</v>
      </c>
      <c r="B51" s="174">
        <f>+Adult!C29</f>
        <v>87836</v>
      </c>
      <c r="C51" s="175">
        <f>+Adult!D29</f>
        <v>184</v>
      </c>
      <c r="D51" s="325">
        <f t="shared" si="2"/>
        <v>88020</v>
      </c>
      <c r="E51" s="376">
        <f t="shared" si="3"/>
        <v>2.0948130607040395E-3</v>
      </c>
      <c r="F51" s="306">
        <v>45</v>
      </c>
      <c r="S51" s="188"/>
      <c r="T51" s="172"/>
      <c r="U51" s="173"/>
      <c r="V51" s="173"/>
    </row>
    <row r="52" spans="1:22" ht="13.8" x14ac:dyDescent="0.25">
      <c r="A52" s="172" t="s">
        <v>255</v>
      </c>
      <c r="B52" s="174">
        <f>+Summer!C18</f>
        <v>130219</v>
      </c>
      <c r="C52" s="175">
        <f>+Summer!D18</f>
        <v>0</v>
      </c>
      <c r="D52" s="325">
        <f t="shared" si="2"/>
        <v>130219</v>
      </c>
      <c r="E52" s="376">
        <f t="shared" si="3"/>
        <v>0</v>
      </c>
      <c r="F52" s="306">
        <v>46</v>
      </c>
      <c r="S52" s="188"/>
      <c r="T52" s="172"/>
      <c r="U52" s="173"/>
      <c r="V52" s="173"/>
    </row>
    <row r="53" spans="1:22" ht="13.8" x14ac:dyDescent="0.25">
      <c r="A53" s="172" t="s">
        <v>364</v>
      </c>
      <c r="B53" s="174">
        <f>+TAP!C12</f>
        <v>5000</v>
      </c>
      <c r="C53" s="289">
        <f>+TAP!D12</f>
        <v>0</v>
      </c>
      <c r="D53" s="325">
        <f t="shared" si="2"/>
        <v>5000</v>
      </c>
      <c r="E53" s="376">
        <f t="shared" si="3"/>
        <v>0</v>
      </c>
      <c r="F53" s="306">
        <v>47</v>
      </c>
      <c r="S53" s="188"/>
      <c r="T53" s="172"/>
      <c r="U53" s="173"/>
      <c r="V53" s="173"/>
    </row>
    <row r="54" spans="1:22" ht="13.8" x14ac:dyDescent="0.25">
      <c r="A54" s="172" t="s">
        <v>359</v>
      </c>
      <c r="B54" s="174">
        <f>+FamilyCom!C27</f>
        <v>181997</v>
      </c>
      <c r="C54" s="289">
        <f>+FamilyCom!D27</f>
        <v>4467</v>
      </c>
      <c r="D54" s="325">
        <f t="shared" si="2"/>
        <v>186464</v>
      </c>
      <c r="E54" s="376">
        <f t="shared" si="3"/>
        <v>2.4544360621328924E-2</v>
      </c>
      <c r="F54" s="306">
        <v>48</v>
      </c>
      <c r="S54" s="188"/>
      <c r="T54" s="172"/>
      <c r="U54" s="173"/>
      <c r="V54" s="173"/>
    </row>
    <row r="55" spans="1:22" ht="13.8" x14ac:dyDescent="0.25">
      <c r="A55" s="172" t="s">
        <v>360</v>
      </c>
      <c r="B55" s="174">
        <f>+Grants!C19</f>
        <v>5000</v>
      </c>
      <c r="C55" s="289">
        <f>+Grants!ED19</f>
        <v>0</v>
      </c>
      <c r="D55" s="325">
        <f t="shared" si="2"/>
        <v>5000</v>
      </c>
      <c r="E55" s="376">
        <f t="shared" si="3"/>
        <v>0</v>
      </c>
      <c r="F55" s="306">
        <v>49</v>
      </c>
      <c r="S55" s="188"/>
      <c r="T55" s="172"/>
      <c r="U55" s="173"/>
      <c r="V55" s="173"/>
    </row>
    <row r="56" spans="1:22" ht="13.8" x14ac:dyDescent="0.25">
      <c r="A56" s="172" t="s">
        <v>197</v>
      </c>
      <c r="B56" s="174">
        <f>+Attendance!C34</f>
        <v>1775177</v>
      </c>
      <c r="C56" s="175">
        <f>+Attendance!D34</f>
        <v>6703</v>
      </c>
      <c r="D56" s="325">
        <f t="shared" si="2"/>
        <v>1781880</v>
      </c>
      <c r="E56" s="376">
        <f t="shared" si="3"/>
        <v>3.7759614956705727E-3</v>
      </c>
      <c r="F56" s="306">
        <v>50</v>
      </c>
      <c r="S56" s="188"/>
      <c r="T56" s="172"/>
      <c r="U56" s="173"/>
      <c r="V56" s="173"/>
    </row>
    <row r="57" spans="1:22" ht="13.8" x14ac:dyDescent="0.25">
      <c r="A57" s="172" t="s">
        <v>150</v>
      </c>
      <c r="B57" s="174">
        <f>+HlthSvs!C39</f>
        <v>1917598</v>
      </c>
      <c r="C57" s="175">
        <f>+HlthSvs!D39</f>
        <v>6079</v>
      </c>
      <c r="D57" s="325">
        <f t="shared" si="2"/>
        <v>1923677</v>
      </c>
      <c r="E57" s="376">
        <f t="shared" si="3"/>
        <v>3.1701117752521643E-3</v>
      </c>
      <c r="F57" s="306">
        <v>51</v>
      </c>
      <c r="S57" s="188"/>
      <c r="T57" s="172"/>
      <c r="U57" s="173"/>
      <c r="V57" s="173"/>
    </row>
    <row r="58" spans="1:22" ht="13.8" x14ac:dyDescent="0.25">
      <c r="A58" s="172" t="s">
        <v>350</v>
      </c>
      <c r="B58" s="174">
        <f>+OStuSup!C29</f>
        <v>9494976</v>
      </c>
      <c r="C58" s="175">
        <f>+OStuSup!D29</f>
        <v>-73046</v>
      </c>
      <c r="D58" s="325">
        <f t="shared" si="2"/>
        <v>9421930</v>
      </c>
      <c r="E58" s="377">
        <f t="shared" si="3"/>
        <v>-7.6931210779258418E-3</v>
      </c>
      <c r="F58" s="306">
        <v>52</v>
      </c>
      <c r="S58" s="188"/>
      <c r="T58" s="128"/>
      <c r="U58" s="182"/>
      <c r="V58" s="182"/>
    </row>
    <row r="59" spans="1:22" ht="13.8" x14ac:dyDescent="0.25">
      <c r="A59" s="172" t="s">
        <v>203</v>
      </c>
      <c r="B59" s="174">
        <f>+Pupil!C14</f>
        <v>21956</v>
      </c>
      <c r="C59" s="175">
        <f>+Pupil!D14</f>
        <v>0</v>
      </c>
      <c r="D59" s="325">
        <f t="shared" si="2"/>
        <v>21956</v>
      </c>
      <c r="E59" s="378">
        <f t="shared" si="3"/>
        <v>0</v>
      </c>
      <c r="F59" s="306">
        <v>53</v>
      </c>
      <c r="S59" s="188"/>
      <c r="T59" s="172"/>
      <c r="U59" s="173"/>
      <c r="V59" s="173"/>
    </row>
    <row r="60" spans="1:22" ht="13.8" x14ac:dyDescent="0.25">
      <c r="A60" s="170" t="s">
        <v>300</v>
      </c>
      <c r="B60" s="160">
        <f>+Curriculum!C20</f>
        <v>17182</v>
      </c>
      <c r="C60" s="161">
        <f>+Curriculum!D20</f>
        <v>0</v>
      </c>
      <c r="D60" s="325">
        <f t="shared" si="2"/>
        <v>17182</v>
      </c>
      <c r="E60" s="376">
        <f t="shared" si="3"/>
        <v>0</v>
      </c>
      <c r="F60" s="306">
        <v>54</v>
      </c>
      <c r="S60" s="188"/>
      <c r="T60" s="172"/>
      <c r="U60" s="173"/>
      <c r="V60" s="173"/>
    </row>
    <row r="61" spans="1:22" ht="13.8" x14ac:dyDescent="0.25">
      <c r="A61" s="172" t="s">
        <v>204</v>
      </c>
      <c r="B61" s="174">
        <f>+Transfer!C31</f>
        <v>240220</v>
      </c>
      <c r="C61" s="175">
        <f>+Transfer!D31</f>
        <v>-212</v>
      </c>
      <c r="D61" s="332">
        <f t="shared" si="2"/>
        <v>240008</v>
      </c>
      <c r="E61" s="377">
        <f t="shared" si="3"/>
        <v>-8.8252435267671301E-4</v>
      </c>
      <c r="F61" s="306">
        <v>55</v>
      </c>
      <c r="S61" s="188"/>
      <c r="T61" s="172"/>
      <c r="U61" s="173"/>
      <c r="V61" s="173"/>
    </row>
    <row r="62" spans="1:22" ht="13.8" x14ac:dyDescent="0.25">
      <c r="A62" s="128" t="s">
        <v>192</v>
      </c>
      <c r="B62" s="180">
        <f>+Guidance!C16</f>
        <v>28161</v>
      </c>
      <c r="C62" s="181">
        <f>+Guidance!D16</f>
        <v>0</v>
      </c>
      <c r="D62" s="325">
        <f t="shared" si="2"/>
        <v>28161</v>
      </c>
      <c r="E62" s="376">
        <f t="shared" si="3"/>
        <v>0</v>
      </c>
      <c r="F62" s="306">
        <v>56</v>
      </c>
      <c r="S62" s="188"/>
      <c r="T62" s="128"/>
      <c r="U62" s="182"/>
      <c r="V62" s="182"/>
    </row>
    <row r="63" spans="1:22" ht="13.8" x14ac:dyDescent="0.25">
      <c r="A63" s="172" t="s">
        <v>351</v>
      </c>
      <c r="B63" s="174">
        <f>+Prin!C32</f>
        <v>31253488</v>
      </c>
      <c r="C63" s="175">
        <f>+Prin!D32</f>
        <v>783067</v>
      </c>
      <c r="D63" s="325">
        <f t="shared" si="2"/>
        <v>32036555</v>
      </c>
      <c r="E63" s="376">
        <f t="shared" si="3"/>
        <v>2.5055347422342108E-2</v>
      </c>
      <c r="F63" s="306">
        <v>57</v>
      </c>
      <c r="S63" s="188"/>
      <c r="T63" s="172"/>
      <c r="U63" s="173"/>
      <c r="V63" s="173"/>
    </row>
    <row r="64" spans="1:22" ht="13.8" x14ac:dyDescent="0.25">
      <c r="A64" s="172" t="s">
        <v>208</v>
      </c>
      <c r="B64" s="174">
        <f>+Board!C41</f>
        <v>7066006</v>
      </c>
      <c r="C64" s="175">
        <f>+Board!D41</f>
        <v>68312</v>
      </c>
      <c r="D64" s="325">
        <f t="shared" si="2"/>
        <v>7134318</v>
      </c>
      <c r="E64" s="376">
        <f t="shared" si="3"/>
        <v>9.6676962912287372E-3</v>
      </c>
      <c r="F64" s="306">
        <v>58</v>
      </c>
      <c r="S64" s="188"/>
      <c r="T64" s="172"/>
      <c r="U64" s="173"/>
      <c r="V64" s="173"/>
    </row>
    <row r="65" spans="1:22" ht="13.8" x14ac:dyDescent="0.25">
      <c r="A65" s="128" t="s">
        <v>269</v>
      </c>
      <c r="B65" s="180">
        <f>+Super!C37</f>
        <v>689843</v>
      </c>
      <c r="C65" s="181">
        <f>+Super!D37</f>
        <v>-85</v>
      </c>
      <c r="D65" s="325">
        <f t="shared" si="2"/>
        <v>689758</v>
      </c>
      <c r="E65" s="376">
        <f t="shared" si="3"/>
        <v>-1.2321644200202075E-4</v>
      </c>
      <c r="F65" s="306">
        <v>59</v>
      </c>
      <c r="S65" s="188"/>
      <c r="T65" s="128"/>
      <c r="U65" s="182">
        <v>-1</v>
      </c>
      <c r="V65" s="182">
        <v>-1</v>
      </c>
    </row>
    <row r="66" spans="1:22" ht="13.8" x14ac:dyDescent="0.25">
      <c r="A66" s="172" t="s">
        <v>352</v>
      </c>
      <c r="B66" s="174">
        <f>+Fiscal!C37</f>
        <v>1383592</v>
      </c>
      <c r="C66" s="175">
        <f>+Fiscal!D37</f>
        <v>808</v>
      </c>
      <c r="D66" s="325">
        <f t="shared" si="2"/>
        <v>1384400</v>
      </c>
      <c r="E66" s="376">
        <f t="shared" si="3"/>
        <v>5.839871869741947E-4</v>
      </c>
      <c r="F66" s="306">
        <v>60</v>
      </c>
      <c r="S66" s="188"/>
      <c r="T66" s="172"/>
      <c r="U66" s="173"/>
      <c r="V66" s="173">
        <v>-1</v>
      </c>
    </row>
    <row r="67" spans="1:22" ht="13.8" x14ac:dyDescent="0.25">
      <c r="A67" s="172" t="s">
        <v>353</v>
      </c>
      <c r="B67" s="174">
        <f>+WH!C28</f>
        <v>203836</v>
      </c>
      <c r="C67" s="175">
        <f>+WH!D28</f>
        <v>480</v>
      </c>
      <c r="D67" s="325">
        <f t="shared" si="2"/>
        <v>204316</v>
      </c>
      <c r="E67" s="376">
        <f t="shared" si="3"/>
        <v>2.3548342785376479E-3</v>
      </c>
      <c r="F67" s="306">
        <v>61</v>
      </c>
      <c r="S67" s="188"/>
      <c r="T67" s="172"/>
      <c r="U67" s="173"/>
      <c r="V67" s="173">
        <v>-1</v>
      </c>
    </row>
    <row r="68" spans="1:22" ht="13.8" x14ac:dyDescent="0.25">
      <c r="A68" s="172" t="s">
        <v>138</v>
      </c>
      <c r="B68" s="174">
        <f>+Security!C36</f>
        <v>3628481</v>
      </c>
      <c r="C68" s="175">
        <f>+Security!D36</f>
        <v>363456</v>
      </c>
      <c r="D68" s="325">
        <f t="shared" si="2"/>
        <v>3991937</v>
      </c>
      <c r="E68" s="376">
        <f t="shared" si="3"/>
        <v>0.10016753567126299</v>
      </c>
      <c r="F68" s="306">
        <v>62</v>
      </c>
      <c r="S68" s="188"/>
      <c r="T68" s="172"/>
      <c r="U68" s="173"/>
      <c r="V68" s="173"/>
    </row>
    <row r="69" spans="1:22" ht="13.8" x14ac:dyDescent="0.25">
      <c r="A69" s="172" t="s">
        <v>69</v>
      </c>
      <c r="B69" s="174">
        <f>+Oper!C52</f>
        <v>29603504</v>
      </c>
      <c r="C69" s="175">
        <f>+Oper!D52</f>
        <v>-231569</v>
      </c>
      <c r="D69" s="325">
        <f t="shared" si="2"/>
        <v>29371935</v>
      </c>
      <c r="E69" s="377">
        <f t="shared" si="3"/>
        <v>-7.8223510297970138E-3</v>
      </c>
      <c r="F69" s="306">
        <v>63</v>
      </c>
      <c r="S69" s="188"/>
      <c r="T69" s="172"/>
      <c r="U69" s="173"/>
      <c r="V69" s="173">
        <v>-1</v>
      </c>
    </row>
    <row r="70" spans="1:22" ht="13.8" x14ac:dyDescent="0.25">
      <c r="A70" s="172" t="s">
        <v>354</v>
      </c>
      <c r="B70" s="174">
        <f>+Maint!C45</f>
        <v>9578838</v>
      </c>
      <c r="C70" s="175">
        <f>+Maint!D45</f>
        <v>26055</v>
      </c>
      <c r="D70" s="325">
        <f t="shared" si="2"/>
        <v>9604893</v>
      </c>
      <c r="E70" s="376">
        <f t="shared" si="3"/>
        <v>2.7200585290199082E-3</v>
      </c>
      <c r="F70" s="306">
        <v>64</v>
      </c>
      <c r="S70" s="188"/>
      <c r="T70" s="172"/>
      <c r="U70" s="173"/>
      <c r="V70" s="173"/>
    </row>
    <row r="71" spans="1:22" ht="13.8" x14ac:dyDescent="0.25">
      <c r="A71" s="170" t="s">
        <v>0</v>
      </c>
      <c r="B71" s="160">
        <f>+Facilities!C35</f>
        <v>359755</v>
      </c>
      <c r="C71" s="161">
        <f>+Facilities!D35</f>
        <v>-1470</v>
      </c>
      <c r="D71" s="325">
        <f t="shared" si="2"/>
        <v>358285</v>
      </c>
      <c r="E71" s="377">
        <f t="shared" si="3"/>
        <v>-4.086114161026254E-3</v>
      </c>
      <c r="F71" s="306">
        <v>65</v>
      </c>
      <c r="S71" s="188"/>
      <c r="T71" s="170"/>
      <c r="U71" s="171"/>
      <c r="V71" s="171">
        <v>-1</v>
      </c>
    </row>
    <row r="72" spans="1:22" ht="13.8" x14ac:dyDescent="0.25">
      <c r="A72" s="170" t="s">
        <v>459</v>
      </c>
      <c r="B72" s="160">
        <f>+'HR Operations'!C42</f>
        <v>1385164</v>
      </c>
      <c r="C72" s="161">
        <f>+'HR Operations'!D42</f>
        <v>52606</v>
      </c>
      <c r="D72" s="325">
        <f t="shared" si="2"/>
        <v>1437770</v>
      </c>
      <c r="E72" s="376">
        <f t="shared" si="3"/>
        <v>3.7978174425555386E-2</v>
      </c>
      <c r="F72" s="306">
        <v>66</v>
      </c>
      <c r="S72" s="188"/>
      <c r="T72" s="170"/>
      <c r="U72" s="171"/>
      <c r="V72" s="171"/>
    </row>
    <row r="73" spans="1:22" ht="13.8" x14ac:dyDescent="0.25">
      <c r="A73" s="170" t="s">
        <v>461</v>
      </c>
      <c r="B73" s="160">
        <f>+'HR Benefits'!C34</f>
        <v>611329</v>
      </c>
      <c r="C73" s="160">
        <f>+'HR Benefits'!D34</f>
        <v>672</v>
      </c>
      <c r="D73" s="325">
        <f>SUM(B73:C73)</f>
        <v>612001</v>
      </c>
      <c r="E73" s="376">
        <f t="shared" si="3"/>
        <v>1.0992444330303324E-3</v>
      </c>
      <c r="F73" s="306">
        <v>67</v>
      </c>
      <c r="S73" s="188"/>
      <c r="T73" s="170"/>
      <c r="U73" s="171"/>
      <c r="V73" s="171"/>
    </row>
    <row r="74" spans="1:22" ht="13.8" x14ac:dyDescent="0.25">
      <c r="A74" s="170" t="s">
        <v>26</v>
      </c>
      <c r="B74" s="160">
        <f>+Central!C17</f>
        <v>35882</v>
      </c>
      <c r="C74" s="161">
        <f>+Central!D17</f>
        <v>224</v>
      </c>
      <c r="D74" s="325">
        <f t="shared" ref="D74:D82" si="4">SUM(B74:C74)</f>
        <v>36106</v>
      </c>
      <c r="E74" s="376">
        <f t="shared" ref="E74:E82" si="5">+(D74-B74)/B74</f>
        <v>6.2426843542723372E-3</v>
      </c>
      <c r="F74" s="306">
        <v>68</v>
      </c>
      <c r="S74" s="188"/>
      <c r="T74" s="170"/>
      <c r="U74" s="171">
        <v>-1</v>
      </c>
      <c r="V74" s="171">
        <v>-1</v>
      </c>
    </row>
    <row r="75" spans="1:22" ht="13.8" x14ac:dyDescent="0.25">
      <c r="A75" s="170" t="s">
        <v>355</v>
      </c>
      <c r="B75" s="160">
        <f>+Tech!C41</f>
        <v>5241941</v>
      </c>
      <c r="C75" s="161">
        <f>+Tech!D41</f>
        <v>302678</v>
      </c>
      <c r="D75" s="325">
        <f t="shared" si="4"/>
        <v>5544619</v>
      </c>
      <c r="E75" s="376">
        <f t="shared" si="5"/>
        <v>5.7741588468851517E-2</v>
      </c>
      <c r="F75" s="306">
        <v>69</v>
      </c>
      <c r="S75" s="188"/>
      <c r="T75" s="170"/>
      <c r="U75" s="171"/>
      <c r="V75" s="171"/>
    </row>
    <row r="76" spans="1:22" ht="13.8" x14ac:dyDescent="0.25">
      <c r="A76" s="170" t="s">
        <v>526</v>
      </c>
      <c r="B76" s="160">
        <f>+Innovation!C22</f>
        <v>0</v>
      </c>
      <c r="C76" s="161">
        <f>+Innovation!D22</f>
        <v>25000</v>
      </c>
      <c r="D76" s="325">
        <f>SUM(B76:C76)</f>
        <v>25000</v>
      </c>
      <c r="E76" s="376" t="s">
        <v>507</v>
      </c>
      <c r="F76" s="306">
        <v>70</v>
      </c>
      <c r="S76" s="188"/>
      <c r="T76" s="170"/>
      <c r="U76" s="171"/>
      <c r="V76" s="171"/>
    </row>
    <row r="77" spans="1:22" ht="13.8" x14ac:dyDescent="0.25">
      <c r="A77" s="170" t="s">
        <v>506</v>
      </c>
      <c r="B77" s="160">
        <f>+InstrTech!C29</f>
        <v>843950</v>
      </c>
      <c r="C77" s="160">
        <f>+InstrTech!D29</f>
        <v>3050</v>
      </c>
      <c r="D77" s="325">
        <f>+InstrTech!E29</f>
        <v>847000</v>
      </c>
      <c r="E77" s="376">
        <f t="shared" si="5"/>
        <v>3.61395817287754E-3</v>
      </c>
      <c r="F77" s="306">
        <v>71</v>
      </c>
      <c r="S77" s="188"/>
      <c r="T77" s="170"/>
      <c r="U77" s="171"/>
      <c r="V77" s="171"/>
    </row>
    <row r="78" spans="1:22" ht="13.8" x14ac:dyDescent="0.25">
      <c r="A78" s="170" t="s">
        <v>47</v>
      </c>
      <c r="B78" s="160">
        <f>+Publications!C16</f>
        <v>88000</v>
      </c>
      <c r="C78" s="161">
        <f>+Publications!D16</f>
        <v>0</v>
      </c>
      <c r="D78" s="325">
        <f t="shared" si="4"/>
        <v>88000</v>
      </c>
      <c r="E78" s="376">
        <f t="shared" si="5"/>
        <v>0</v>
      </c>
      <c r="F78" s="306">
        <v>72</v>
      </c>
      <c r="S78" s="188"/>
      <c r="T78" s="170"/>
      <c r="U78" s="171"/>
      <c r="V78" s="171"/>
    </row>
    <row r="79" spans="1:22" ht="13.8" x14ac:dyDescent="0.25">
      <c r="A79" s="170" t="s">
        <v>490</v>
      </c>
      <c r="B79" s="160">
        <f>+Public!C32</f>
        <v>870405</v>
      </c>
      <c r="C79" s="161">
        <f>+Public!D32</f>
        <v>2158</v>
      </c>
      <c r="D79" s="325">
        <f t="shared" si="4"/>
        <v>872563</v>
      </c>
      <c r="E79" s="376">
        <f t="shared" si="5"/>
        <v>2.4793056106065569E-3</v>
      </c>
      <c r="F79" s="306">
        <v>73</v>
      </c>
      <c r="S79" s="188"/>
      <c r="T79" s="170"/>
      <c r="U79" s="171"/>
      <c r="V79" s="171"/>
    </row>
    <row r="80" spans="1:22" ht="13.8" x14ac:dyDescent="0.25">
      <c r="A80" s="170" t="s">
        <v>311</v>
      </c>
      <c r="B80" s="160">
        <f>+Accountability!C37</f>
        <v>661125</v>
      </c>
      <c r="C80" s="161">
        <f>+Accountability!D37</f>
        <v>1555</v>
      </c>
      <c r="D80" s="325">
        <f t="shared" si="4"/>
        <v>662680</v>
      </c>
      <c r="E80" s="376">
        <f t="shared" si="5"/>
        <v>2.3520514274910191E-3</v>
      </c>
      <c r="F80" s="306">
        <v>74</v>
      </c>
      <c r="S80" s="188"/>
      <c r="T80" s="170"/>
      <c r="U80" s="171"/>
      <c r="V80" s="171"/>
    </row>
    <row r="81" spans="1:22" ht="13.8" x14ac:dyDescent="0.25">
      <c r="A81" s="170" t="s">
        <v>250</v>
      </c>
      <c r="B81" s="160">
        <f>+Trsp!C72</f>
        <v>15191191</v>
      </c>
      <c r="C81" s="161">
        <f>+Trsp!D72</f>
        <v>588186</v>
      </c>
      <c r="D81" s="325">
        <f t="shared" si="4"/>
        <v>15779377</v>
      </c>
      <c r="E81" s="376">
        <f t="shared" si="5"/>
        <v>3.8718886491519985E-2</v>
      </c>
      <c r="F81" s="306">
        <v>75</v>
      </c>
      <c r="S81" s="188"/>
      <c r="T81" s="170"/>
      <c r="U81" s="171"/>
      <c r="V81" s="171">
        <v>-1</v>
      </c>
    </row>
    <row r="82" spans="1:22" ht="13.8" x14ac:dyDescent="0.25">
      <c r="A82" s="170" t="s">
        <v>367</v>
      </c>
      <c r="B82" s="160">
        <f>+Other!C20</f>
        <v>10713053</v>
      </c>
      <c r="C82" s="161">
        <f>+Other!D20</f>
        <v>1086000</v>
      </c>
      <c r="D82" s="325">
        <f t="shared" si="4"/>
        <v>11799053</v>
      </c>
      <c r="E82" s="376">
        <f t="shared" si="5"/>
        <v>0.10137166314775069</v>
      </c>
      <c r="F82" s="306">
        <v>76</v>
      </c>
      <c r="S82" s="188"/>
      <c r="T82" s="170"/>
      <c r="U82" s="171"/>
      <c r="V82" s="171"/>
    </row>
    <row r="83" spans="1:22" ht="9" customHeight="1" x14ac:dyDescent="0.25">
      <c r="A83" s="36"/>
      <c r="B83" s="157"/>
      <c r="C83" s="158"/>
      <c r="D83" s="326"/>
      <c r="E83" s="231"/>
      <c r="F83"/>
      <c r="S83" s="187"/>
      <c r="T83" s="36"/>
      <c r="U83" s="159"/>
      <c r="V83" s="159"/>
    </row>
    <row r="84" spans="1:22" ht="13.8" x14ac:dyDescent="0.25">
      <c r="A84" s="23" t="s">
        <v>316</v>
      </c>
      <c r="B84" s="354">
        <f>SUM(B9:B83)</f>
        <v>419867000</v>
      </c>
      <c r="C84" s="163">
        <f>SUM(C9:C83)</f>
        <v>5018000</v>
      </c>
      <c r="D84" s="333">
        <f>SUM(D9:D83)</f>
        <v>424885000</v>
      </c>
      <c r="E84" s="379">
        <f>+(D84-B84)/B84</f>
        <v>1.195140365877766E-2</v>
      </c>
      <c r="F84"/>
      <c r="S84" s="187"/>
      <c r="T84" s="36"/>
      <c r="U84" s="159">
        <f>SUM(U9:U83)</f>
        <v>-5</v>
      </c>
      <c r="V84" s="159">
        <f>SUM(V9:V83)</f>
        <v>-15</v>
      </c>
    </row>
    <row r="85" spans="1:22" ht="9" customHeight="1" x14ac:dyDescent="0.25">
      <c r="F85" s="165"/>
      <c r="G85"/>
      <c r="H85"/>
      <c r="J85" s="87"/>
      <c r="K85" s="87"/>
      <c r="L85" s="87"/>
      <c r="M85" s="87"/>
      <c r="S85" s="106"/>
      <c r="T85" s="106"/>
      <c r="U85" s="106"/>
      <c r="V85" s="106"/>
    </row>
    <row r="86" spans="1:22" ht="9" customHeight="1" x14ac:dyDescent="0.25">
      <c r="F86" s="165"/>
      <c r="G86"/>
      <c r="H86"/>
      <c r="J86" s="87"/>
      <c r="K86" s="87"/>
      <c r="L86" s="87"/>
      <c r="M86" s="87"/>
      <c r="S86" s="106"/>
      <c r="T86" s="106"/>
      <c r="U86" s="106"/>
      <c r="V86" s="106"/>
    </row>
    <row r="87" spans="1:22" ht="9" customHeight="1" x14ac:dyDescent="0.25">
      <c r="F87" s="165"/>
      <c r="G87"/>
      <c r="H87"/>
      <c r="J87" s="87"/>
      <c r="K87" s="87"/>
      <c r="L87" s="87"/>
      <c r="M87" s="87"/>
      <c r="S87" s="106"/>
      <c r="T87" s="106"/>
      <c r="U87" s="106"/>
      <c r="V87" s="106"/>
    </row>
    <row r="88" spans="1:22" ht="9" customHeight="1" x14ac:dyDescent="0.25">
      <c r="F88" s="165"/>
      <c r="G88"/>
      <c r="H88"/>
      <c r="J88" s="87"/>
      <c r="K88" s="87"/>
      <c r="L88" s="87"/>
      <c r="M88" s="87"/>
      <c r="S88" s="106"/>
      <c r="T88" s="106"/>
      <c r="U88" s="106"/>
      <c r="V88" s="106"/>
    </row>
    <row r="89" spans="1:22" ht="20.25" customHeight="1" x14ac:dyDescent="0.25">
      <c r="C89" s="283"/>
      <c r="S89" s="106"/>
      <c r="T89" s="106"/>
      <c r="U89" s="106"/>
      <c r="V89" s="106"/>
    </row>
    <row r="90" spans="1:22" x14ac:dyDescent="0.25">
      <c r="S90" s="106"/>
      <c r="T90" s="106"/>
      <c r="U90" s="106"/>
      <c r="V90" s="106"/>
    </row>
    <row r="114" spans="2:16" x14ac:dyDescent="0.25">
      <c r="E114" s="350"/>
      <c r="J114" s="106"/>
    </row>
    <row r="115" spans="2:16" x14ac:dyDescent="0.25">
      <c r="J115" s="106"/>
    </row>
    <row r="116" spans="2:16" x14ac:dyDescent="0.25">
      <c r="B116"/>
      <c r="F116" s="165"/>
      <c r="G116"/>
      <c r="H116"/>
      <c r="I116"/>
    </row>
    <row r="117" spans="2:16" x14ac:dyDescent="0.25">
      <c r="E117" s="56"/>
    </row>
    <row r="120" spans="2:16" x14ac:dyDescent="0.25">
      <c r="E120" s="351"/>
      <c r="F120" s="352"/>
    </row>
    <row r="123" spans="2:16" x14ac:dyDescent="0.25">
      <c r="O123" s="145"/>
      <c r="P123" s="151"/>
    </row>
    <row r="124" spans="2:16" x14ac:dyDescent="0.25">
      <c r="O124" s="145"/>
      <c r="P124" s="151" t="s">
        <v>328</v>
      </c>
    </row>
    <row r="125" spans="2:16" x14ac:dyDescent="0.25">
      <c r="O125" s="145"/>
      <c r="P125" s="151" t="s">
        <v>290</v>
      </c>
    </row>
    <row r="126" spans="2:16" x14ac:dyDescent="0.25">
      <c r="O126" s="145"/>
      <c r="P126" s="145"/>
    </row>
    <row r="127" spans="2:16" x14ac:dyDescent="0.25">
      <c r="O127" s="137" t="str">
        <f>+summaryGraph!B13</f>
        <v xml:space="preserve"> Personal Services</v>
      </c>
      <c r="P127" s="164">
        <f>+summaryGraph!C14</f>
        <v>0.6582239756875391</v>
      </c>
    </row>
    <row r="128" spans="2:16" x14ac:dyDescent="0.25">
      <c r="O128" s="145" t="str">
        <f>+summaryGraph!B15</f>
        <v xml:space="preserve"> Employee Benefits</v>
      </c>
      <c r="P128" s="164">
        <f>+summaryGraph!C16</f>
        <v>0.17571041305937357</v>
      </c>
    </row>
    <row r="129" spans="15:16" x14ac:dyDescent="0.25">
      <c r="O129" s="137" t="str">
        <f>+summaryGraph!B17</f>
        <v xml:space="preserve"> Contracted Services</v>
      </c>
      <c r="P129" s="164">
        <f>+summaryGraph!C18</f>
        <v>5.7405504600266277E-2</v>
      </c>
    </row>
    <row r="130" spans="15:16" x14ac:dyDescent="0.25">
      <c r="O130" s="137" t="str">
        <f>+summaryGraph!B19</f>
        <v xml:space="preserve"> Supplies/ Materials</v>
      </c>
      <c r="P130" s="164">
        <f>+summaryGraph!C20</f>
        <v>5.2808953787747075E-2</v>
      </c>
    </row>
    <row r="131" spans="15:16" x14ac:dyDescent="0.25">
      <c r="O131" s="137" t="str">
        <f>+summaryGraph!B21</f>
        <v xml:space="preserve"> Other Charges</v>
      </c>
      <c r="P131" s="164">
        <f>+summaryGraph!C22</f>
        <v>5.45729957343635E-2</v>
      </c>
    </row>
    <row r="132" spans="15:16" x14ac:dyDescent="0.25">
      <c r="O132" s="137" t="str">
        <f>+summaryGraph!B23</f>
        <v xml:space="preserve"> Capital Outlay</v>
      </c>
      <c r="P132" s="164">
        <f>+summaryGraph!C24</f>
        <v>1.2781571307104393E-3</v>
      </c>
    </row>
    <row r="133" spans="15:16" x14ac:dyDescent="0.25">
      <c r="O133" s="145"/>
      <c r="P133" s="145"/>
    </row>
    <row r="134" spans="15:16" x14ac:dyDescent="0.25">
      <c r="O134" s="145"/>
      <c r="P134" s="145"/>
    </row>
    <row r="135" spans="15:16" x14ac:dyDescent="0.25">
      <c r="O135" s="145"/>
      <c r="P135" s="145"/>
    </row>
    <row r="136" spans="15:16" x14ac:dyDescent="0.25">
      <c r="O136" s="145"/>
      <c r="P136" s="145"/>
    </row>
    <row r="137" spans="15:16" x14ac:dyDescent="0.25">
      <c r="O137" s="145"/>
      <c r="P137" s="151"/>
    </row>
    <row r="138" spans="15:16" x14ac:dyDescent="0.25">
      <c r="O138" s="145"/>
      <c r="P138" s="151" t="s">
        <v>318</v>
      </c>
    </row>
    <row r="139" spans="15:16" x14ac:dyDescent="0.25">
      <c r="O139" s="145"/>
      <c r="P139" s="151" t="s">
        <v>290</v>
      </c>
    </row>
    <row r="140" spans="15:16" x14ac:dyDescent="0.25">
      <c r="O140" s="145"/>
      <c r="P140" s="145"/>
    </row>
    <row r="141" spans="15:16" x14ac:dyDescent="0.25">
      <c r="O141" s="169" t="str">
        <f>+summaryGraph!B13</f>
        <v xml:space="preserve"> Personal Services</v>
      </c>
      <c r="P141" s="164">
        <f>+summaryGraph!E14</f>
        <v>0.65648835096555536</v>
      </c>
    </row>
    <row r="142" spans="15:16" x14ac:dyDescent="0.25">
      <c r="O142" s="145" t="str">
        <f>+summaryGraph!B15</f>
        <v xml:space="preserve"> Employee Benefits</v>
      </c>
      <c r="P142" s="164">
        <f>+summaryGraph!E16</f>
        <v>0.17660812925850525</v>
      </c>
    </row>
    <row r="143" spans="15:16" x14ac:dyDescent="0.25">
      <c r="O143" s="145" t="str">
        <f>+summaryGraph!B17</f>
        <v xml:space="preserve"> Contracted Services</v>
      </c>
      <c r="P143" s="164">
        <f>+summaryGraph!E18</f>
        <v>5.794264094990409E-2</v>
      </c>
    </row>
    <row r="144" spans="15:16" x14ac:dyDescent="0.25">
      <c r="O144" s="145" t="str">
        <f>+summaryGraph!B19</f>
        <v xml:space="preserve"> Supplies/ Materials</v>
      </c>
      <c r="P144" s="164">
        <f>+summaryGraph!E20</f>
        <v>5.2332445249891148E-2</v>
      </c>
    </row>
    <row r="145" spans="15:16" x14ac:dyDescent="0.25">
      <c r="O145" s="145" t="str">
        <f>+summaryGraph!B21</f>
        <v xml:space="preserve"> Other Charges</v>
      </c>
      <c r="P145" s="164">
        <f>+summaryGraph!E22</f>
        <v>5.5365371806488817E-2</v>
      </c>
    </row>
    <row r="146" spans="15:16" x14ac:dyDescent="0.25">
      <c r="O146" s="145" t="str">
        <f>+summaryGraph!B23</f>
        <v xml:space="preserve"> Capital Outlay</v>
      </c>
      <c r="P146" s="164">
        <f>+summaryGraph!E24</f>
        <v>1.2630617696553184E-3</v>
      </c>
    </row>
    <row r="147" spans="15:16" x14ac:dyDescent="0.25">
      <c r="O147" s="145"/>
      <c r="P147" s="145"/>
    </row>
    <row r="148" spans="15:16" x14ac:dyDescent="0.25">
      <c r="O148" s="145"/>
      <c r="P148" s="145"/>
    </row>
    <row r="149" spans="15:16" x14ac:dyDescent="0.25">
      <c r="O149" s="145"/>
      <c r="P149" s="145"/>
    </row>
    <row r="150" spans="15:16" x14ac:dyDescent="0.25">
      <c r="O150" s="145" t="e">
        <f>+#REF!</f>
        <v>#REF!</v>
      </c>
      <c r="P150" s="164" t="e">
        <f>+#REF!</f>
        <v>#REF!</v>
      </c>
    </row>
    <row r="151" spans="15:16" x14ac:dyDescent="0.25">
      <c r="O151" s="145" t="e">
        <f>+#REF!</f>
        <v>#REF!</v>
      </c>
      <c r="P151" s="164" t="e">
        <f>+#REF!</f>
        <v>#REF!</v>
      </c>
    </row>
    <row r="152" spans="15:16" x14ac:dyDescent="0.25">
      <c r="O152" s="145" t="e">
        <f>+#REF!</f>
        <v>#REF!</v>
      </c>
      <c r="P152" s="164" t="e">
        <f>+#REF!</f>
        <v>#REF!</v>
      </c>
    </row>
    <row r="153" spans="15:16" x14ac:dyDescent="0.25">
      <c r="O153" s="145" t="e">
        <f>+#REF!</f>
        <v>#REF!</v>
      </c>
      <c r="P153" s="164" t="e">
        <f>+#REF!</f>
        <v>#REF!</v>
      </c>
    </row>
    <row r="154" spans="15:16" x14ac:dyDescent="0.25">
      <c r="O154" s="145" t="e">
        <f>+#REF!</f>
        <v>#REF!</v>
      </c>
      <c r="P154" s="164" t="e">
        <f>+#REF!</f>
        <v>#REF!</v>
      </c>
    </row>
    <row r="155" spans="15:16" x14ac:dyDescent="0.25">
      <c r="O155" s="145" t="e">
        <f>+#REF!</f>
        <v>#REF!</v>
      </c>
      <c r="P155" s="164" t="e">
        <f>+#REF!</f>
        <v>#REF!</v>
      </c>
    </row>
    <row r="198" spans="1:9" ht="13.8" thickBot="1" x14ac:dyDescent="0.3">
      <c r="F198" s="165"/>
      <c r="G198"/>
      <c r="H198"/>
      <c r="I198"/>
    </row>
    <row r="199" spans="1:9" ht="13.8" thickBot="1" x14ac:dyDescent="0.3">
      <c r="B199" s="196"/>
      <c r="F199" s="165"/>
      <c r="G199"/>
      <c r="H199"/>
      <c r="I199"/>
    </row>
    <row r="200" spans="1:9" x14ac:dyDescent="0.25">
      <c r="B200" s="189"/>
      <c r="C200" s="87"/>
      <c r="F200" s="165"/>
      <c r="G200"/>
      <c r="H200"/>
      <c r="I200"/>
    </row>
    <row r="201" spans="1:9" ht="13.8" thickBot="1" x14ac:dyDescent="0.3">
      <c r="B201" s="195"/>
      <c r="C201" s="87"/>
      <c r="F201" s="165"/>
      <c r="G201"/>
      <c r="H201"/>
      <c r="I201"/>
    </row>
    <row r="202" spans="1:9" x14ac:dyDescent="0.25">
      <c r="A202" s="87"/>
      <c r="B202" s="200"/>
      <c r="C202" s="87"/>
      <c r="F202" s="165"/>
      <c r="G202"/>
      <c r="H202"/>
      <c r="I202"/>
    </row>
  </sheetData>
  <mergeCells count="3">
    <mergeCell ref="U4:V4"/>
    <mergeCell ref="U5:V5"/>
    <mergeCell ref="U6:V6"/>
  </mergeCells>
  <printOptions horizontalCentered="1"/>
  <pageMargins left="0.45" right="0.25" top="0.7" bottom="0.5" header="0.3" footer="0.3"/>
  <pageSetup scale="69" fitToHeight="3" orientation="landscape" useFirstPageNumber="1" r:id="rId1"/>
  <headerFooter>
    <oddFooter>&amp;C&amp;"Arial,Bold"&amp;P</oddFooter>
  </headerFooter>
  <rowBreaks count="2" manualBreakCount="2">
    <brk id="46" max="8" man="1"/>
    <brk id="88" max="8" man="1"/>
  </rowBreaks>
  <ignoredErrors>
    <ignoredError sqref="D77" formula="1"/>
  </ignoredError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E17"/>
  <sheetViews>
    <sheetView workbookViewId="0">
      <selection activeCell="A3" sqref="A3"/>
    </sheetView>
  </sheetViews>
  <sheetFormatPr defaultRowHeight="13.2" x14ac:dyDescent="0.25"/>
  <cols>
    <col min="1" max="1" width="11.6640625" customWidth="1"/>
    <col min="2" max="2" width="52.6640625" customWidth="1"/>
    <col min="3" max="3" width="17.6640625" customWidth="1"/>
    <col min="4" max="4" width="17.6640625" style="215" customWidth="1"/>
    <col min="5" max="6" width="17.6640625" customWidth="1"/>
  </cols>
  <sheetData>
    <row r="1" spans="1:5" ht="15.6" x14ac:dyDescent="0.3">
      <c r="A1" s="5" t="s">
        <v>261</v>
      </c>
    </row>
    <row r="2" spans="1:5" ht="15.6" x14ac:dyDescent="0.3">
      <c r="A2" s="5" t="s">
        <v>510</v>
      </c>
    </row>
    <row r="3" spans="1:5" ht="13.8" thickBot="1" x14ac:dyDescent="0.3"/>
    <row r="4" spans="1:5" ht="15.6" x14ac:dyDescent="0.3">
      <c r="A4" s="413" t="s">
        <v>128</v>
      </c>
      <c r="B4" s="414"/>
      <c r="C4" s="94" t="s">
        <v>483</v>
      </c>
      <c r="D4" s="356"/>
      <c r="E4" s="362" t="s">
        <v>511</v>
      </c>
    </row>
    <row r="5" spans="1:5" ht="15.6" x14ac:dyDescent="0.3">
      <c r="A5" s="60"/>
      <c r="B5" s="61"/>
      <c r="C5" s="93" t="s">
        <v>345</v>
      </c>
      <c r="D5" s="358"/>
      <c r="E5" s="363" t="s">
        <v>342</v>
      </c>
    </row>
    <row r="6" spans="1:5" ht="16.2" thickBot="1" x14ac:dyDescent="0.35">
      <c r="A6" s="13"/>
      <c r="B6" s="14"/>
      <c r="C6" s="14" t="s">
        <v>290</v>
      </c>
      <c r="D6" s="360" t="s">
        <v>493</v>
      </c>
      <c r="E6" s="364" t="s">
        <v>290</v>
      </c>
    </row>
    <row r="7" spans="1:5" ht="13.8" x14ac:dyDescent="0.25">
      <c r="A7" s="62">
        <v>71134</v>
      </c>
      <c r="B7" s="78" t="s">
        <v>32</v>
      </c>
      <c r="C7" s="25"/>
      <c r="D7" s="216"/>
      <c r="E7" s="25"/>
    </row>
    <row r="8" spans="1:5" x14ac:dyDescent="0.25">
      <c r="A8" s="57">
        <v>549950</v>
      </c>
      <c r="B8" s="9" t="s">
        <v>129</v>
      </c>
      <c r="C8" s="64">
        <v>644</v>
      </c>
      <c r="D8" s="207"/>
      <c r="E8" s="64">
        <f>SUM(C8:D8)</f>
        <v>644</v>
      </c>
    </row>
    <row r="9" spans="1:5" x14ac:dyDescent="0.25">
      <c r="A9" s="9"/>
      <c r="B9" s="6" t="s">
        <v>9</v>
      </c>
      <c r="C9" s="65">
        <f>SUM(C8)</f>
        <v>644</v>
      </c>
      <c r="D9" s="208">
        <f>SUM(D8)</f>
        <v>0</v>
      </c>
      <c r="E9" s="65">
        <f>SUM(E8)</f>
        <v>644</v>
      </c>
    </row>
    <row r="10" spans="1:5" x14ac:dyDescent="0.25">
      <c r="A10" s="9"/>
      <c r="B10" s="9"/>
      <c r="C10" s="64"/>
      <c r="D10" s="207"/>
      <c r="E10" s="64"/>
    </row>
    <row r="11" spans="1:5" x14ac:dyDescent="0.25">
      <c r="A11" s="9"/>
      <c r="B11" s="9"/>
      <c r="C11" s="64"/>
      <c r="D11" s="207"/>
      <c r="E11" s="64"/>
    </row>
    <row r="12" spans="1:5" s="23" customFormat="1" ht="15.6" x14ac:dyDescent="0.3">
      <c r="A12" s="12" t="s">
        <v>130</v>
      </c>
      <c r="B12" s="12"/>
      <c r="C12" s="70">
        <f>SUM(C9)</f>
        <v>644</v>
      </c>
      <c r="D12" s="209">
        <f>SUM(D9)</f>
        <v>0</v>
      </c>
      <c r="E12" s="70">
        <f>SUM(E9)</f>
        <v>644</v>
      </c>
    </row>
    <row r="17" spans="2:2" x14ac:dyDescent="0.25">
      <c r="B17" s="2"/>
    </row>
  </sheetData>
  <mergeCells count="1">
    <mergeCell ref="A4:B4"/>
  </mergeCells>
  <phoneticPr fontId="0" type="noConversion"/>
  <printOptions horizontalCentered="1"/>
  <pageMargins left="0.75" right="0.75" top="1" bottom="1" header="0.5" footer="0.5"/>
  <pageSetup scale="77" firstPageNumber="29" orientation="portrait" useFirstPageNumber="1" r:id="rId1"/>
  <headerFooter alignWithMargins="0">
    <oddFooter>&amp;C&amp;"Arial,Bold"&amp;P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H13"/>
  <sheetViews>
    <sheetView workbookViewId="0">
      <selection activeCell="D10" sqref="D10"/>
    </sheetView>
  </sheetViews>
  <sheetFormatPr defaultRowHeight="13.2" x14ac:dyDescent="0.25"/>
  <cols>
    <col min="1" max="1" width="11.6640625" customWidth="1"/>
    <col min="2" max="2" width="52.6640625" customWidth="1"/>
    <col min="3" max="3" width="17.6640625" customWidth="1"/>
    <col min="4" max="4" width="17.6640625" style="215" customWidth="1"/>
    <col min="5" max="6" width="17.6640625" customWidth="1"/>
  </cols>
  <sheetData>
    <row r="1" spans="1:8" ht="15.6" x14ac:dyDescent="0.3">
      <c r="A1" s="5" t="s">
        <v>261</v>
      </c>
    </row>
    <row r="2" spans="1:8" ht="15.6" x14ac:dyDescent="0.3">
      <c r="A2" s="5" t="s">
        <v>510</v>
      </c>
    </row>
    <row r="3" spans="1:8" ht="13.8" thickBot="1" x14ac:dyDescent="0.3"/>
    <row r="4" spans="1:8" ht="15.6" x14ac:dyDescent="0.3">
      <c r="A4" s="413" t="s">
        <v>273</v>
      </c>
      <c r="B4" s="414"/>
      <c r="C4" s="94" t="s">
        <v>483</v>
      </c>
      <c r="D4" s="356"/>
      <c r="E4" s="362" t="s">
        <v>511</v>
      </c>
    </row>
    <row r="5" spans="1:8" ht="15.6" x14ac:dyDescent="0.3">
      <c r="A5" s="60"/>
      <c r="B5" s="61"/>
      <c r="C5" s="93" t="s">
        <v>345</v>
      </c>
      <c r="D5" s="358"/>
      <c r="E5" s="363" t="s">
        <v>342</v>
      </c>
    </row>
    <row r="6" spans="1:8" ht="16.2" thickBot="1" x14ac:dyDescent="0.35">
      <c r="A6" s="13"/>
      <c r="B6" s="14"/>
      <c r="C6" s="14" t="s">
        <v>290</v>
      </c>
      <c r="D6" s="360" t="s">
        <v>493</v>
      </c>
      <c r="E6" s="364" t="s">
        <v>290</v>
      </c>
    </row>
    <row r="7" spans="1:8" ht="13.8" x14ac:dyDescent="0.25">
      <c r="A7" s="62">
        <v>71123</v>
      </c>
      <c r="B7" s="78" t="s">
        <v>32</v>
      </c>
      <c r="C7" s="25"/>
      <c r="D7" s="216"/>
      <c r="E7" s="25"/>
    </row>
    <row r="8" spans="1:8" x14ac:dyDescent="0.25">
      <c r="A8" s="57"/>
      <c r="B8" s="9"/>
      <c r="C8" s="64"/>
      <c r="D8" s="207"/>
      <c r="E8" s="64"/>
    </row>
    <row r="9" spans="1:8" x14ac:dyDescent="0.25">
      <c r="A9" s="73">
        <v>530900</v>
      </c>
      <c r="B9" s="18" t="s">
        <v>79</v>
      </c>
      <c r="C9" s="64">
        <v>1241742</v>
      </c>
      <c r="D9" s="207">
        <v>-100000</v>
      </c>
      <c r="E9" s="64">
        <f>SUM(C9:D9)</f>
        <v>1141742</v>
      </c>
    </row>
    <row r="10" spans="1:8" x14ac:dyDescent="0.25">
      <c r="A10" s="6"/>
      <c r="B10" s="19" t="s">
        <v>4</v>
      </c>
      <c r="C10" s="65">
        <f>SUM(C9:C9)</f>
        <v>1241742</v>
      </c>
      <c r="D10" s="208">
        <f>SUM(D9:D9)</f>
        <v>-100000</v>
      </c>
      <c r="E10" s="65">
        <f>SUM(E9:E9)</f>
        <v>1141742</v>
      </c>
    </row>
    <row r="11" spans="1:8" x14ac:dyDescent="0.25">
      <c r="A11" s="57"/>
      <c r="B11" s="9"/>
      <c r="C11" s="64"/>
      <c r="D11" s="207"/>
      <c r="E11" s="64"/>
      <c r="H11" s="56"/>
    </row>
    <row r="12" spans="1:8" x14ac:dyDescent="0.25">
      <c r="A12" s="9"/>
      <c r="B12" s="9"/>
      <c r="C12" s="64"/>
      <c r="D12" s="207"/>
      <c r="E12" s="64"/>
    </row>
    <row r="13" spans="1:8" ht="15.6" x14ac:dyDescent="0.3">
      <c r="A13" s="12" t="s">
        <v>274</v>
      </c>
      <c r="B13" s="12"/>
      <c r="C13" s="70">
        <f>+C10</f>
        <v>1241742</v>
      </c>
      <c r="D13" s="209">
        <f>+D10</f>
        <v>-100000</v>
      </c>
      <c r="E13" s="70">
        <f>+E10</f>
        <v>1141742</v>
      </c>
    </row>
  </sheetData>
  <mergeCells count="1">
    <mergeCell ref="A4:B4"/>
  </mergeCells>
  <phoneticPr fontId="0" type="noConversion"/>
  <printOptions horizontalCentered="1"/>
  <pageMargins left="0.75" right="0.75" top="1" bottom="1" header="0.5" footer="0.5"/>
  <pageSetup scale="77" firstPageNumber="30" orientation="portrait" useFirstPageNumber="1" r:id="rId1"/>
  <headerFooter alignWithMargins="0">
    <oddFooter>&amp;C&amp;"Arial,Bold"&amp;P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E22"/>
  <sheetViews>
    <sheetView workbookViewId="0">
      <selection activeCell="A3" sqref="A3"/>
    </sheetView>
  </sheetViews>
  <sheetFormatPr defaultRowHeight="13.2" x14ac:dyDescent="0.25"/>
  <cols>
    <col min="1" max="1" width="11.6640625" customWidth="1"/>
    <col min="2" max="2" width="52.6640625" customWidth="1"/>
    <col min="3" max="3" width="17.6640625" customWidth="1"/>
    <col min="4" max="4" width="17.6640625" style="215" customWidth="1"/>
    <col min="5" max="6" width="17.6640625" customWidth="1"/>
  </cols>
  <sheetData>
    <row r="1" spans="1:5" ht="15.6" x14ac:dyDescent="0.3">
      <c r="A1" s="5" t="s">
        <v>261</v>
      </c>
    </row>
    <row r="2" spans="1:5" ht="15.6" x14ac:dyDescent="0.3">
      <c r="A2" s="5" t="s">
        <v>510</v>
      </c>
    </row>
    <row r="3" spans="1:5" ht="13.8" thickBot="1" x14ac:dyDescent="0.3"/>
    <row r="4" spans="1:5" ht="15.6" x14ac:dyDescent="0.3">
      <c r="A4" s="413" t="s">
        <v>297</v>
      </c>
      <c r="B4" s="414"/>
      <c r="C4" s="94" t="s">
        <v>483</v>
      </c>
      <c r="D4" s="356"/>
      <c r="E4" s="362" t="s">
        <v>511</v>
      </c>
    </row>
    <row r="5" spans="1:5" ht="15.6" x14ac:dyDescent="0.3">
      <c r="A5" s="60"/>
      <c r="B5" s="61"/>
      <c r="C5" s="93" t="s">
        <v>345</v>
      </c>
      <c r="D5" s="358"/>
      <c r="E5" s="363" t="s">
        <v>342</v>
      </c>
    </row>
    <row r="6" spans="1:5" ht="16.2" thickBot="1" x14ac:dyDescent="0.35">
      <c r="A6" s="13"/>
      <c r="B6" s="14"/>
      <c r="C6" s="14" t="s">
        <v>290</v>
      </c>
      <c r="D6" s="360" t="s">
        <v>493</v>
      </c>
      <c r="E6" s="364" t="s">
        <v>290</v>
      </c>
    </row>
    <row r="7" spans="1:5" ht="13.8" x14ac:dyDescent="0.25">
      <c r="A7" s="62">
        <v>71124</v>
      </c>
      <c r="B7" s="78" t="s">
        <v>32</v>
      </c>
      <c r="C7" s="25"/>
      <c r="D7" s="216"/>
      <c r="E7" s="25"/>
    </row>
    <row r="8" spans="1:5" x14ac:dyDescent="0.25">
      <c r="A8" s="57">
        <v>535500</v>
      </c>
      <c r="B8" s="9" t="s">
        <v>2</v>
      </c>
      <c r="C8" s="64">
        <v>1000</v>
      </c>
      <c r="D8" s="207"/>
      <c r="E8" s="64">
        <f>SUM(C8:D8)</f>
        <v>1000</v>
      </c>
    </row>
    <row r="9" spans="1:5" x14ac:dyDescent="0.25">
      <c r="A9" s="57">
        <v>535520</v>
      </c>
      <c r="B9" s="9" t="s">
        <v>24</v>
      </c>
      <c r="C9" s="64">
        <v>500</v>
      </c>
      <c r="D9" s="207"/>
      <c r="E9" s="64">
        <f>SUM(C9:D9)</f>
        <v>500</v>
      </c>
    </row>
    <row r="10" spans="1:5" x14ac:dyDescent="0.25">
      <c r="A10" s="57">
        <v>532000</v>
      </c>
      <c r="B10" s="9" t="s">
        <v>94</v>
      </c>
      <c r="C10" s="64">
        <v>1000</v>
      </c>
      <c r="D10" s="207"/>
      <c r="E10" s="64">
        <f>SUM(C10:D10)</f>
        <v>1000</v>
      </c>
    </row>
    <row r="11" spans="1:5" s="1" customFormat="1" x14ac:dyDescent="0.25">
      <c r="A11" s="6"/>
      <c r="B11" s="6" t="s">
        <v>4</v>
      </c>
      <c r="C11" s="65">
        <f>SUM(C8:C10)</f>
        <v>2500</v>
      </c>
      <c r="D11" s="208">
        <f>SUM(D8:D10)</f>
        <v>0</v>
      </c>
      <c r="E11" s="65">
        <f>SUM(E8:E10)</f>
        <v>2500</v>
      </c>
    </row>
    <row r="12" spans="1:5" x14ac:dyDescent="0.25">
      <c r="A12" s="57"/>
      <c r="B12" s="9"/>
      <c r="C12" s="64"/>
      <c r="D12" s="207"/>
      <c r="E12" s="64"/>
    </row>
    <row r="13" spans="1:5" x14ac:dyDescent="0.25">
      <c r="A13" s="57">
        <v>543500</v>
      </c>
      <c r="B13" s="9" t="s">
        <v>6</v>
      </c>
      <c r="C13" s="64">
        <v>1500</v>
      </c>
      <c r="D13" s="207"/>
      <c r="E13" s="64">
        <f>SUM(C13:D13)</f>
        <v>1500</v>
      </c>
    </row>
    <row r="14" spans="1:5" x14ac:dyDescent="0.25">
      <c r="A14" s="57">
        <v>543700</v>
      </c>
      <c r="B14" s="9" t="s">
        <v>43</v>
      </c>
      <c r="C14" s="64">
        <v>500</v>
      </c>
      <c r="D14" s="207"/>
      <c r="E14" s="64">
        <f>SUM(C14:D14)</f>
        <v>500</v>
      </c>
    </row>
    <row r="15" spans="1:5" s="1" customFormat="1" x14ac:dyDescent="0.25">
      <c r="A15" s="6"/>
      <c r="B15" s="6" t="s">
        <v>9</v>
      </c>
      <c r="C15" s="65">
        <f>SUM(C13:C14)</f>
        <v>2000</v>
      </c>
      <c r="D15" s="208">
        <f>SUM(D13:D14)</f>
        <v>0</v>
      </c>
      <c r="E15" s="65">
        <f>SUM(E13:E14)</f>
        <v>2000</v>
      </c>
    </row>
    <row r="16" spans="1:5" x14ac:dyDescent="0.25">
      <c r="A16" s="57"/>
      <c r="B16" s="9"/>
      <c r="C16" s="64"/>
      <c r="D16" s="207"/>
      <c r="E16" s="64"/>
    </row>
    <row r="17" spans="1:5" x14ac:dyDescent="0.25">
      <c r="A17" s="57">
        <v>559900</v>
      </c>
      <c r="B17" s="9" t="s">
        <v>214</v>
      </c>
      <c r="C17" s="64">
        <v>151</v>
      </c>
      <c r="D17" s="207"/>
      <c r="E17" s="64">
        <f>SUM(C17:D17)</f>
        <v>151</v>
      </c>
    </row>
    <row r="18" spans="1:5" x14ac:dyDescent="0.25">
      <c r="A18" s="57">
        <v>552400</v>
      </c>
      <c r="B18" s="9" t="s">
        <v>11</v>
      </c>
      <c r="C18" s="64">
        <v>224</v>
      </c>
      <c r="D18" s="207"/>
      <c r="E18" s="64">
        <f>SUM(C18:D18)</f>
        <v>224</v>
      </c>
    </row>
    <row r="19" spans="1:5" s="1" customFormat="1" x14ac:dyDescent="0.25">
      <c r="A19" s="10"/>
      <c r="B19" s="6" t="s">
        <v>53</v>
      </c>
      <c r="C19" s="65">
        <f>SUM(C17:C18)</f>
        <v>375</v>
      </c>
      <c r="D19" s="208">
        <f>SUM(D17:D18)</f>
        <v>0</v>
      </c>
      <c r="E19" s="65">
        <f>SUM(E17:E18)</f>
        <v>375</v>
      </c>
    </row>
    <row r="20" spans="1:5" x14ac:dyDescent="0.25">
      <c r="A20" s="9"/>
      <c r="B20" s="9"/>
      <c r="C20" s="64"/>
      <c r="D20" s="207"/>
      <c r="E20" s="64"/>
    </row>
    <row r="21" spans="1:5" x14ac:dyDescent="0.25">
      <c r="A21" s="9"/>
      <c r="B21" s="9"/>
      <c r="C21" s="64"/>
      <c r="D21" s="207"/>
      <c r="E21" s="64"/>
    </row>
    <row r="22" spans="1:5" s="23" customFormat="1" ht="15.6" x14ac:dyDescent="0.3">
      <c r="A22" s="12" t="s">
        <v>298</v>
      </c>
      <c r="B22" s="12"/>
      <c r="C22" s="70">
        <f>+C19+C15+C11</f>
        <v>4875</v>
      </c>
      <c r="D22" s="209">
        <f>+D19+D15+D11</f>
        <v>0</v>
      </c>
      <c r="E22" s="70">
        <f>+E19+E15+E11</f>
        <v>4875</v>
      </c>
    </row>
  </sheetData>
  <mergeCells count="1">
    <mergeCell ref="A4:B4"/>
  </mergeCells>
  <phoneticPr fontId="0" type="noConversion"/>
  <printOptions horizontalCentered="1"/>
  <pageMargins left="0.75" right="0.75" top="1" bottom="1" header="0.5" footer="0.5"/>
  <pageSetup scale="77" firstPageNumber="31" orientation="portrait" useFirstPageNumber="1" r:id="rId1"/>
  <headerFooter alignWithMargins="0">
    <oddFooter>&amp;C&amp;"Arial,Bold"&amp;P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0"/>
  <sheetViews>
    <sheetView workbookViewId="0">
      <selection activeCell="D43" sqref="D43"/>
    </sheetView>
  </sheetViews>
  <sheetFormatPr defaultRowHeight="13.2" x14ac:dyDescent="0.25"/>
  <cols>
    <col min="1" max="1" width="11.6640625" customWidth="1"/>
    <col min="2" max="2" width="52.6640625" customWidth="1"/>
    <col min="3" max="3" width="17.6640625" customWidth="1"/>
    <col min="4" max="4" width="17.6640625" style="215" customWidth="1"/>
    <col min="5" max="6" width="17.6640625" customWidth="1"/>
  </cols>
  <sheetData>
    <row r="1" spans="1:5" ht="15.6" x14ac:dyDescent="0.3">
      <c r="A1" s="5" t="s">
        <v>261</v>
      </c>
    </row>
    <row r="2" spans="1:5" ht="15.6" x14ac:dyDescent="0.3">
      <c r="A2" s="5" t="s">
        <v>510</v>
      </c>
    </row>
    <row r="3" spans="1:5" ht="13.8" thickBot="1" x14ac:dyDescent="0.3"/>
    <row r="4" spans="1:5" ht="15.6" x14ac:dyDescent="0.3">
      <c r="A4" s="413" t="s">
        <v>190</v>
      </c>
      <c r="B4" s="414"/>
      <c r="C4" s="94" t="s">
        <v>483</v>
      </c>
      <c r="D4" s="356"/>
      <c r="E4" s="362" t="s">
        <v>511</v>
      </c>
    </row>
    <row r="5" spans="1:5" ht="15.6" x14ac:dyDescent="0.3">
      <c r="A5" s="60"/>
      <c r="B5" s="61"/>
      <c r="C5" s="93" t="s">
        <v>345</v>
      </c>
      <c r="D5" s="358"/>
      <c r="E5" s="363" t="s">
        <v>342</v>
      </c>
    </row>
    <row r="6" spans="1:5" ht="16.2" thickBot="1" x14ac:dyDescent="0.35">
      <c r="A6" s="13"/>
      <c r="B6" s="14"/>
      <c r="C6" s="14" t="s">
        <v>290</v>
      </c>
      <c r="D6" s="360" t="s">
        <v>493</v>
      </c>
      <c r="E6" s="364" t="s">
        <v>290</v>
      </c>
    </row>
    <row r="7" spans="1:5" ht="13.8" x14ac:dyDescent="0.25">
      <c r="A7" s="62">
        <v>71150</v>
      </c>
      <c r="B7" s="78" t="s">
        <v>32</v>
      </c>
      <c r="C7" s="25"/>
      <c r="D7" s="216"/>
      <c r="E7" s="25"/>
    </row>
    <row r="8" spans="1:5" x14ac:dyDescent="0.25">
      <c r="A8" s="20">
        <v>511600</v>
      </c>
      <c r="B8" s="26" t="s">
        <v>93</v>
      </c>
      <c r="C8" s="66">
        <v>1248676</v>
      </c>
      <c r="D8" s="207">
        <f>5710+28575-28413</f>
        <v>5872</v>
      </c>
      <c r="E8" s="66">
        <f>SUM(C8:D8)</f>
        <v>1254548</v>
      </c>
    </row>
    <row r="9" spans="1:5" x14ac:dyDescent="0.25">
      <c r="A9" s="20">
        <v>516300</v>
      </c>
      <c r="B9" s="26" t="s">
        <v>107</v>
      </c>
      <c r="C9" s="66">
        <v>88981</v>
      </c>
      <c r="D9" s="207">
        <f>-674+916</f>
        <v>242</v>
      </c>
      <c r="E9" s="66">
        <f>SUM(C9:D9)</f>
        <v>89223</v>
      </c>
    </row>
    <row r="10" spans="1:5" x14ac:dyDescent="0.25">
      <c r="A10" s="20">
        <v>516000</v>
      </c>
      <c r="B10" s="26" t="s">
        <v>139</v>
      </c>
      <c r="C10" s="66">
        <v>46234</v>
      </c>
      <c r="D10" s="207">
        <f>-350+476</f>
        <v>126</v>
      </c>
      <c r="E10" s="66">
        <f>SUM(C10:D10)</f>
        <v>46360</v>
      </c>
    </row>
    <row r="11" spans="1:5" x14ac:dyDescent="0.25">
      <c r="A11" s="20">
        <v>519500</v>
      </c>
      <c r="B11" s="26" t="s">
        <v>33</v>
      </c>
      <c r="C11" s="66">
        <v>9100</v>
      </c>
      <c r="D11" s="207"/>
      <c r="E11" s="66">
        <f>SUM(C11:D11)</f>
        <v>9100</v>
      </c>
    </row>
    <row r="12" spans="1:5" x14ac:dyDescent="0.25">
      <c r="A12" s="20">
        <v>518975</v>
      </c>
      <c r="B12" s="26" t="s">
        <v>40</v>
      </c>
      <c r="C12" s="66">
        <v>27521</v>
      </c>
      <c r="D12" s="207">
        <f>126+630-626</f>
        <v>130</v>
      </c>
      <c r="E12" s="66">
        <f>SUM(C12:D12)</f>
        <v>27651</v>
      </c>
    </row>
    <row r="13" spans="1:5" x14ac:dyDescent="0.25">
      <c r="A13" s="6"/>
      <c r="B13" s="6" t="s">
        <v>102</v>
      </c>
      <c r="C13" s="65">
        <f>SUM(C8:C12)</f>
        <v>1420512</v>
      </c>
      <c r="D13" s="208">
        <f>SUM(D8:D12)</f>
        <v>6370</v>
      </c>
      <c r="E13" s="65">
        <f>SUM(E8:E12)</f>
        <v>1426882</v>
      </c>
    </row>
    <row r="14" spans="1:5" x14ac:dyDescent="0.25">
      <c r="A14" s="20"/>
      <c r="B14" s="26"/>
      <c r="C14" s="66"/>
      <c r="D14" s="207"/>
      <c r="E14" s="66"/>
    </row>
    <row r="15" spans="1:5" x14ac:dyDescent="0.25">
      <c r="A15" s="20">
        <v>520100</v>
      </c>
      <c r="B15" s="26" t="s">
        <v>15</v>
      </c>
      <c r="C15" s="66">
        <v>97871</v>
      </c>
      <c r="D15" s="207">
        <f>448+2240-2227</f>
        <v>461</v>
      </c>
      <c r="E15" s="66">
        <f t="shared" ref="E15:E20" si="0">SUM(C15:D15)</f>
        <v>98332</v>
      </c>
    </row>
    <row r="16" spans="1:5" x14ac:dyDescent="0.25">
      <c r="A16" s="20">
        <v>521100</v>
      </c>
      <c r="B16" s="26" t="s">
        <v>20</v>
      </c>
      <c r="C16" s="66">
        <v>10102</v>
      </c>
      <c r="D16" s="207">
        <f>-57+104</f>
        <v>47</v>
      </c>
      <c r="E16" s="66">
        <f t="shared" si="0"/>
        <v>10149</v>
      </c>
    </row>
    <row r="17" spans="1:5" x14ac:dyDescent="0.25">
      <c r="A17" s="20">
        <v>520400</v>
      </c>
      <c r="B17" s="26" t="s">
        <v>16</v>
      </c>
      <c r="C17" s="66">
        <v>96213</v>
      </c>
      <c r="D17" s="207">
        <f>3817+440-2189</f>
        <v>2068</v>
      </c>
      <c r="E17" s="66">
        <f t="shared" si="0"/>
        <v>98281</v>
      </c>
    </row>
    <row r="18" spans="1:5" x14ac:dyDescent="0.25">
      <c r="A18" s="20">
        <v>520700</v>
      </c>
      <c r="B18" s="26" t="s">
        <v>18</v>
      </c>
      <c r="C18" s="66">
        <v>126159</v>
      </c>
      <c r="D18" s="207"/>
      <c r="E18" s="66">
        <f t="shared" si="0"/>
        <v>126159</v>
      </c>
    </row>
    <row r="19" spans="1:5" x14ac:dyDescent="0.25">
      <c r="A19" s="20">
        <v>520600</v>
      </c>
      <c r="B19" s="26" t="s">
        <v>17</v>
      </c>
      <c r="C19" s="66">
        <v>2390</v>
      </c>
      <c r="D19" s="207"/>
      <c r="E19" s="66">
        <f t="shared" si="0"/>
        <v>2390</v>
      </c>
    </row>
    <row r="20" spans="1:5" x14ac:dyDescent="0.25">
      <c r="A20" s="20">
        <v>520800</v>
      </c>
      <c r="B20" s="26" t="s">
        <v>19</v>
      </c>
      <c r="C20" s="66">
        <v>1114</v>
      </c>
      <c r="D20" s="207"/>
      <c r="E20" s="66">
        <f t="shared" si="0"/>
        <v>1114</v>
      </c>
    </row>
    <row r="21" spans="1:5" x14ac:dyDescent="0.25">
      <c r="A21" s="6"/>
      <c r="B21" s="6" t="s">
        <v>111</v>
      </c>
      <c r="C21" s="65">
        <f>SUM(C15:C20)</f>
        <v>333849</v>
      </c>
      <c r="D21" s="208">
        <f>SUM(D15:D20)</f>
        <v>2576</v>
      </c>
      <c r="E21" s="65">
        <f>SUM(E15:E20)</f>
        <v>336425</v>
      </c>
    </row>
    <row r="22" spans="1:5" x14ac:dyDescent="0.25">
      <c r="A22" s="20"/>
      <c r="B22" s="26"/>
      <c r="C22" s="66"/>
      <c r="D22" s="207"/>
      <c r="E22" s="66"/>
    </row>
    <row r="23" spans="1:5" x14ac:dyDescent="0.25">
      <c r="A23" s="20">
        <v>542900</v>
      </c>
      <c r="B23" s="8" t="s">
        <v>28</v>
      </c>
      <c r="C23" s="66">
        <v>78293</v>
      </c>
      <c r="D23" s="207">
        <f>-14864-9000</f>
        <v>-23864</v>
      </c>
      <c r="E23" s="66">
        <f>SUM(C23:D23)</f>
        <v>54429</v>
      </c>
    </row>
    <row r="24" spans="1:5" x14ac:dyDescent="0.25">
      <c r="A24" s="260">
        <v>542960</v>
      </c>
      <c r="B24" s="8" t="s">
        <v>31</v>
      </c>
      <c r="C24" s="66">
        <v>30000</v>
      </c>
      <c r="D24" s="207">
        <v>-30000</v>
      </c>
      <c r="E24" s="66">
        <f>SUM(C24:D24)</f>
        <v>0</v>
      </c>
    </row>
    <row r="25" spans="1:5" x14ac:dyDescent="0.25">
      <c r="B25" s="6" t="s">
        <v>9</v>
      </c>
      <c r="C25" s="65">
        <f>SUM(C23:C24)</f>
        <v>108293</v>
      </c>
      <c r="D25" s="208">
        <f>SUM(D23:D24)</f>
        <v>-53864</v>
      </c>
      <c r="E25" s="65">
        <f>SUM(E23:E24)</f>
        <v>54429</v>
      </c>
    </row>
    <row r="26" spans="1:5" x14ac:dyDescent="0.25">
      <c r="A26" s="20"/>
      <c r="B26" s="26"/>
      <c r="C26" s="66"/>
      <c r="D26" s="207"/>
      <c r="E26" s="66"/>
    </row>
    <row r="27" spans="1:5" ht="13.8" x14ac:dyDescent="0.25">
      <c r="A27" s="43"/>
      <c r="B27" s="24" t="s">
        <v>81</v>
      </c>
      <c r="C27" s="67">
        <f>SUM(C13+C21+C25)</f>
        <v>1862654</v>
      </c>
      <c r="D27" s="214">
        <f>SUM(D13+D21+D25)</f>
        <v>-44918</v>
      </c>
      <c r="E27" s="67">
        <f>SUM(E13+E21+E25)</f>
        <v>1817736</v>
      </c>
    </row>
    <row r="28" spans="1:5" x14ac:dyDescent="0.25">
      <c r="A28" s="72"/>
      <c r="B28" s="9"/>
      <c r="C28" s="64"/>
      <c r="D28" s="207"/>
      <c r="E28" s="64"/>
    </row>
    <row r="29" spans="1:5" ht="13.8" x14ac:dyDescent="0.25">
      <c r="A29" s="63">
        <v>72215</v>
      </c>
      <c r="B29" s="45" t="s">
        <v>37</v>
      </c>
      <c r="C29" s="64"/>
      <c r="D29" s="207"/>
      <c r="E29" s="64"/>
    </row>
    <row r="30" spans="1:5" x14ac:dyDescent="0.25">
      <c r="A30" s="20">
        <v>510400</v>
      </c>
      <c r="B30" s="26" t="s">
        <v>191</v>
      </c>
      <c r="C30" s="66">
        <v>194027</v>
      </c>
      <c r="D30" s="207">
        <f>887+4440-4415</f>
        <v>912</v>
      </c>
      <c r="E30" s="66">
        <f t="shared" ref="E30:E37" si="1">SUM(C30:D30)</f>
        <v>194939</v>
      </c>
    </row>
    <row r="31" spans="1:5" x14ac:dyDescent="0.25">
      <c r="A31" s="20">
        <v>512300</v>
      </c>
      <c r="B31" s="26" t="s">
        <v>192</v>
      </c>
      <c r="C31" s="66">
        <v>53021</v>
      </c>
      <c r="D31" s="207">
        <f>242+1213-1206</f>
        <v>249</v>
      </c>
      <c r="E31" s="66">
        <f t="shared" si="1"/>
        <v>53270</v>
      </c>
    </row>
    <row r="32" spans="1:5" x14ac:dyDescent="0.25">
      <c r="A32" s="20">
        <v>513000</v>
      </c>
      <c r="B32" s="26" t="s">
        <v>193</v>
      </c>
      <c r="C32" s="66">
        <v>60875</v>
      </c>
      <c r="D32" s="207">
        <f>278+1393-1505</f>
        <v>166</v>
      </c>
      <c r="E32" s="66">
        <f t="shared" si="1"/>
        <v>61041</v>
      </c>
    </row>
    <row r="33" spans="1:5" x14ac:dyDescent="0.25">
      <c r="A33" s="20">
        <v>516000</v>
      </c>
      <c r="B33" s="26" t="s">
        <v>366</v>
      </c>
      <c r="C33" s="66">
        <v>19320</v>
      </c>
      <c r="D33" s="207">
        <f>-146+199</f>
        <v>53</v>
      </c>
      <c r="E33" s="66">
        <f t="shared" si="1"/>
        <v>19373</v>
      </c>
    </row>
    <row r="34" spans="1:5" x14ac:dyDescent="0.25">
      <c r="A34" s="20">
        <v>516100</v>
      </c>
      <c r="B34" s="26" t="s">
        <v>56</v>
      </c>
      <c r="C34" s="66">
        <v>26581</v>
      </c>
      <c r="D34" s="207">
        <f>-201+274</f>
        <v>73</v>
      </c>
      <c r="E34" s="66">
        <f t="shared" si="1"/>
        <v>26654</v>
      </c>
    </row>
    <row r="35" spans="1:5" x14ac:dyDescent="0.25">
      <c r="A35" s="20">
        <v>516300</v>
      </c>
      <c r="B35" s="26" t="s">
        <v>107</v>
      </c>
      <c r="C35" s="66">
        <v>136401</v>
      </c>
      <c r="D35" s="207">
        <f>-1033+1405</f>
        <v>372</v>
      </c>
      <c r="E35" s="66">
        <f t="shared" si="1"/>
        <v>136773</v>
      </c>
    </row>
    <row r="36" spans="1:5" x14ac:dyDescent="0.25">
      <c r="A36" s="20">
        <v>519500</v>
      </c>
      <c r="B36" s="26" t="s">
        <v>33</v>
      </c>
      <c r="C36" s="66">
        <v>500</v>
      </c>
      <c r="D36" s="207"/>
      <c r="E36" s="66">
        <f t="shared" si="1"/>
        <v>500</v>
      </c>
    </row>
    <row r="37" spans="1:5" x14ac:dyDescent="0.25">
      <c r="A37" s="20">
        <v>511900</v>
      </c>
      <c r="B37" s="26" t="s">
        <v>194</v>
      </c>
      <c r="C37" s="66">
        <v>24774</v>
      </c>
      <c r="D37" s="207">
        <f>-188+255</f>
        <v>67</v>
      </c>
      <c r="E37" s="66">
        <f t="shared" si="1"/>
        <v>24841</v>
      </c>
    </row>
    <row r="38" spans="1:5" x14ac:dyDescent="0.25">
      <c r="A38" s="6"/>
      <c r="B38" s="6" t="s">
        <v>102</v>
      </c>
      <c r="C38" s="65">
        <f>SUM(C30:C37)</f>
        <v>515499</v>
      </c>
      <c r="D38" s="208">
        <f>SUM(D30:D37)</f>
        <v>1892</v>
      </c>
      <c r="E38" s="65">
        <f>SUM(E30:E37)</f>
        <v>517391</v>
      </c>
    </row>
    <row r="39" spans="1:5" x14ac:dyDescent="0.25">
      <c r="A39" s="20"/>
      <c r="B39" s="26"/>
      <c r="C39" s="66"/>
      <c r="D39" s="207"/>
      <c r="E39" s="66"/>
    </row>
    <row r="40" spans="1:5" x14ac:dyDescent="0.25">
      <c r="A40" s="20">
        <v>520100</v>
      </c>
      <c r="B40" s="26" t="s">
        <v>15</v>
      </c>
      <c r="C40" s="66">
        <v>33641</v>
      </c>
      <c r="D40" s="207">
        <f>154+770-765</f>
        <v>159</v>
      </c>
      <c r="E40" s="66">
        <f t="shared" ref="E40:E45" si="2">SUM(C40:D40)</f>
        <v>33800</v>
      </c>
    </row>
    <row r="41" spans="1:5" x14ac:dyDescent="0.25">
      <c r="A41" s="20">
        <v>521100</v>
      </c>
      <c r="B41" s="26" t="s">
        <v>20</v>
      </c>
      <c r="C41" s="66">
        <v>10604</v>
      </c>
      <c r="D41" s="207">
        <f>-59+109</f>
        <v>50</v>
      </c>
      <c r="E41" s="66">
        <f t="shared" si="2"/>
        <v>10654</v>
      </c>
    </row>
    <row r="42" spans="1:5" x14ac:dyDescent="0.25">
      <c r="A42" s="20">
        <v>520400</v>
      </c>
      <c r="B42" s="26" t="s">
        <v>16</v>
      </c>
      <c r="C42" s="66">
        <v>27235</v>
      </c>
      <c r="D42" s="207">
        <f>125+1081-620</f>
        <v>586</v>
      </c>
      <c r="E42" s="66">
        <f t="shared" si="2"/>
        <v>27821</v>
      </c>
    </row>
    <row r="43" spans="1:5" x14ac:dyDescent="0.25">
      <c r="A43" s="20">
        <v>520700</v>
      </c>
      <c r="B43" s="26" t="s">
        <v>18</v>
      </c>
      <c r="C43" s="66">
        <v>71161</v>
      </c>
      <c r="D43" s="207"/>
      <c r="E43" s="66">
        <f t="shared" si="2"/>
        <v>71161</v>
      </c>
    </row>
    <row r="44" spans="1:5" x14ac:dyDescent="0.25">
      <c r="A44" s="20">
        <v>520600</v>
      </c>
      <c r="B44" s="26" t="s">
        <v>17</v>
      </c>
      <c r="C44" s="66">
        <v>900</v>
      </c>
      <c r="D44" s="207"/>
      <c r="E44" s="66">
        <f t="shared" si="2"/>
        <v>900</v>
      </c>
    </row>
    <row r="45" spans="1:5" x14ac:dyDescent="0.25">
      <c r="A45" s="20">
        <v>520800</v>
      </c>
      <c r="B45" s="26" t="s">
        <v>19</v>
      </c>
      <c r="C45" s="66">
        <v>298</v>
      </c>
      <c r="D45" s="207"/>
      <c r="E45" s="66">
        <f t="shared" si="2"/>
        <v>298</v>
      </c>
    </row>
    <row r="46" spans="1:5" x14ac:dyDescent="0.25">
      <c r="A46" s="26"/>
      <c r="B46" s="6" t="s">
        <v>111</v>
      </c>
      <c r="C46" s="65">
        <f>SUM(C40:C45)</f>
        <v>143839</v>
      </c>
      <c r="D46" s="208">
        <f>SUM(D40:D45)</f>
        <v>795</v>
      </c>
      <c r="E46" s="65">
        <f>SUM(E40:E45)</f>
        <v>144634</v>
      </c>
    </row>
    <row r="47" spans="1:5" x14ac:dyDescent="0.25">
      <c r="A47" s="9"/>
      <c r="B47" s="9"/>
      <c r="C47" s="64"/>
      <c r="D47" s="207"/>
      <c r="E47" s="64"/>
    </row>
    <row r="48" spans="1:5" x14ac:dyDescent="0.25">
      <c r="A48" s="20">
        <v>532000</v>
      </c>
      <c r="B48" s="26" t="s">
        <v>94</v>
      </c>
      <c r="C48" s="64">
        <v>160</v>
      </c>
      <c r="D48" s="207"/>
      <c r="E48" s="66">
        <f>SUM(C48:D48)</f>
        <v>160</v>
      </c>
    </row>
    <row r="49" spans="1:5" x14ac:dyDescent="0.25">
      <c r="A49" s="6"/>
      <c r="B49" s="6" t="s">
        <v>4</v>
      </c>
      <c r="C49" s="65">
        <f>+C48</f>
        <v>160</v>
      </c>
      <c r="D49" s="208">
        <f>+D48</f>
        <v>0</v>
      </c>
      <c r="E49" s="65">
        <f>+E48</f>
        <v>160</v>
      </c>
    </row>
    <row r="50" spans="1:5" x14ac:dyDescent="0.25">
      <c r="A50" s="9"/>
      <c r="B50" s="9"/>
      <c r="C50" s="64"/>
      <c r="D50" s="207"/>
      <c r="E50" s="64"/>
    </row>
    <row r="51" spans="1:5" x14ac:dyDescent="0.25">
      <c r="A51" s="20">
        <v>542900</v>
      </c>
      <c r="B51" s="8" t="s">
        <v>28</v>
      </c>
      <c r="C51" s="64">
        <v>810</v>
      </c>
      <c r="D51" s="207"/>
      <c r="E51" s="66">
        <f>SUM(C51:D51)</f>
        <v>810</v>
      </c>
    </row>
    <row r="52" spans="1:5" x14ac:dyDescent="0.25">
      <c r="B52" s="6" t="s">
        <v>9</v>
      </c>
      <c r="C52" s="65">
        <f>+C51</f>
        <v>810</v>
      </c>
      <c r="D52" s="208">
        <f>+D51</f>
        <v>0</v>
      </c>
      <c r="E52" s="65">
        <f>+E51</f>
        <v>810</v>
      </c>
    </row>
    <row r="53" spans="1:5" x14ac:dyDescent="0.25">
      <c r="A53" s="9"/>
      <c r="B53" s="9"/>
      <c r="C53" s="64"/>
      <c r="D53" s="207"/>
      <c r="E53" s="64"/>
    </row>
    <row r="54" spans="1:5" x14ac:dyDescent="0.25">
      <c r="A54" s="20">
        <v>552400</v>
      </c>
      <c r="B54" s="8" t="s">
        <v>516</v>
      </c>
      <c r="C54" s="64">
        <v>0</v>
      </c>
      <c r="D54" s="207">
        <v>9000</v>
      </c>
      <c r="E54" s="66">
        <f>SUM(C54:D54)</f>
        <v>9000</v>
      </c>
    </row>
    <row r="55" spans="1:5" x14ac:dyDescent="0.25">
      <c r="B55" s="6" t="s">
        <v>9</v>
      </c>
      <c r="C55" s="65">
        <f>+C54</f>
        <v>0</v>
      </c>
      <c r="D55" s="208">
        <f>+D54</f>
        <v>9000</v>
      </c>
      <c r="E55" s="65">
        <f>+E54</f>
        <v>9000</v>
      </c>
    </row>
    <row r="56" spans="1:5" x14ac:dyDescent="0.25">
      <c r="A56" s="9"/>
      <c r="B56" s="9"/>
      <c r="C56" s="64"/>
      <c r="D56" s="207"/>
      <c r="E56" s="64"/>
    </row>
    <row r="57" spans="1:5" s="1" customFormat="1" ht="13.8" x14ac:dyDescent="0.25">
      <c r="A57" s="10"/>
      <c r="B57" s="24" t="s">
        <v>82</v>
      </c>
      <c r="C57" s="67">
        <f>SUM(C38+C46+C49+C52+C55)</f>
        <v>660308</v>
      </c>
      <c r="D57" s="67">
        <f>SUM(D38+D46+D49+D52+D55)</f>
        <v>11687</v>
      </c>
      <c r="E57" s="67">
        <f>SUM(E38+E46+E49+E52+E55)</f>
        <v>671995</v>
      </c>
    </row>
    <row r="58" spans="1:5" x14ac:dyDescent="0.25">
      <c r="A58" s="9"/>
      <c r="B58" s="9"/>
      <c r="C58" s="64"/>
      <c r="D58" s="207"/>
      <c r="E58" s="64"/>
    </row>
    <row r="59" spans="1:5" x14ac:dyDescent="0.25">
      <c r="A59" s="9"/>
      <c r="B59" s="9"/>
      <c r="C59" s="64"/>
      <c r="D59" s="207"/>
      <c r="E59" s="64"/>
    </row>
    <row r="60" spans="1:5" s="23" customFormat="1" ht="15.6" x14ac:dyDescent="0.3">
      <c r="A60" s="12" t="s">
        <v>195</v>
      </c>
      <c r="B60" s="12"/>
      <c r="C60" s="70">
        <f>SUM(C27+C57)</f>
        <v>2522962</v>
      </c>
      <c r="D60" s="209">
        <f>SUM(D27+D57)</f>
        <v>-33231</v>
      </c>
      <c r="E60" s="70">
        <f>SUM(E27+E57)</f>
        <v>2489731</v>
      </c>
    </row>
  </sheetData>
  <mergeCells count="1">
    <mergeCell ref="A4:B4"/>
  </mergeCells>
  <phoneticPr fontId="0" type="noConversion"/>
  <printOptions horizontalCentered="1"/>
  <pageMargins left="0.75" right="0.75" top="1" bottom="1" header="0.5" footer="0.5"/>
  <pageSetup scale="77" firstPageNumber="32" orientation="portrait" useFirstPageNumber="1" r:id="rId1"/>
  <headerFooter alignWithMargins="0">
    <oddFooter>&amp;C&amp;"Arial,Bold"&amp;P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E40"/>
  <sheetViews>
    <sheetView topLeftCell="A4" workbookViewId="0">
      <selection activeCell="D22" sqref="D22"/>
    </sheetView>
  </sheetViews>
  <sheetFormatPr defaultRowHeight="13.2" x14ac:dyDescent="0.25"/>
  <cols>
    <col min="1" max="1" width="11.6640625" customWidth="1"/>
    <col min="2" max="2" width="52.6640625" customWidth="1"/>
    <col min="3" max="3" width="17.6640625" customWidth="1"/>
    <col min="4" max="4" width="17.6640625" style="215" customWidth="1"/>
    <col min="5" max="6" width="17.6640625" customWidth="1"/>
  </cols>
  <sheetData>
    <row r="1" spans="1:5" ht="15.6" x14ac:dyDescent="0.3">
      <c r="A1" s="5" t="s">
        <v>261</v>
      </c>
    </row>
    <row r="2" spans="1:5" ht="15.6" x14ac:dyDescent="0.3">
      <c r="A2" s="5" t="s">
        <v>510</v>
      </c>
    </row>
    <row r="3" spans="1:5" ht="13.8" thickBot="1" x14ac:dyDescent="0.3"/>
    <row r="4" spans="1:5" ht="15.6" x14ac:dyDescent="0.3">
      <c r="A4" s="413" t="s">
        <v>234</v>
      </c>
      <c r="B4" s="414"/>
      <c r="C4" s="94" t="s">
        <v>483</v>
      </c>
      <c r="D4" s="356"/>
      <c r="E4" s="362" t="s">
        <v>511</v>
      </c>
    </row>
    <row r="5" spans="1:5" ht="15.6" x14ac:dyDescent="0.3">
      <c r="A5" s="60"/>
      <c r="B5" s="61"/>
      <c r="C5" s="93" t="s">
        <v>345</v>
      </c>
      <c r="D5" s="358"/>
      <c r="E5" s="363" t="s">
        <v>342</v>
      </c>
    </row>
    <row r="6" spans="1:5" ht="16.2" thickBot="1" x14ac:dyDescent="0.35">
      <c r="A6" s="13"/>
      <c r="B6" s="14"/>
      <c r="C6" s="14" t="s">
        <v>290</v>
      </c>
      <c r="D6" s="360" t="s">
        <v>493</v>
      </c>
      <c r="E6" s="364" t="s">
        <v>290</v>
      </c>
    </row>
    <row r="7" spans="1:5" ht="13.8" x14ac:dyDescent="0.25">
      <c r="A7" s="62">
        <v>71200</v>
      </c>
      <c r="B7" s="78" t="s">
        <v>32</v>
      </c>
      <c r="C7" s="25"/>
      <c r="D7" s="216"/>
      <c r="E7" s="25"/>
    </row>
    <row r="8" spans="1:5" x14ac:dyDescent="0.25">
      <c r="A8" s="20">
        <v>511600</v>
      </c>
      <c r="B8" s="26" t="s">
        <v>93</v>
      </c>
      <c r="C8" s="66">
        <v>21588574</v>
      </c>
      <c r="D8" s="207">
        <f>98720+312004-491232</f>
        <v>-80508</v>
      </c>
      <c r="E8" s="66">
        <f>SUM(C8:D8)</f>
        <v>21508066</v>
      </c>
    </row>
    <row r="9" spans="1:5" x14ac:dyDescent="0.25">
      <c r="A9" s="20">
        <v>510400</v>
      </c>
      <c r="B9" s="26" t="s">
        <v>481</v>
      </c>
      <c r="C9" s="66">
        <v>82500</v>
      </c>
      <c r="D9" s="207">
        <f>397+1888-1877</f>
        <v>408</v>
      </c>
      <c r="E9" s="66">
        <f t="shared" ref="E9:E17" si="0">SUM(C9:D9)</f>
        <v>82908</v>
      </c>
    </row>
    <row r="10" spans="1:5" x14ac:dyDescent="0.25">
      <c r="A10" s="20">
        <v>512800</v>
      </c>
      <c r="B10" s="26" t="s">
        <v>155</v>
      </c>
      <c r="C10" s="66">
        <v>222833</v>
      </c>
      <c r="D10" s="207">
        <f>1019+5099-5070</f>
        <v>1048</v>
      </c>
      <c r="E10" s="66">
        <f t="shared" si="0"/>
        <v>223881</v>
      </c>
    </row>
    <row r="11" spans="1:5" x14ac:dyDescent="0.25">
      <c r="A11" s="20">
        <v>516200</v>
      </c>
      <c r="B11" s="26" t="s">
        <v>14</v>
      </c>
      <c r="C11" s="66">
        <v>30698</v>
      </c>
      <c r="D11" s="207">
        <f>-232+316</f>
        <v>84</v>
      </c>
      <c r="E11" s="66">
        <f t="shared" si="0"/>
        <v>30782</v>
      </c>
    </row>
    <row r="12" spans="1:5" x14ac:dyDescent="0.25">
      <c r="A12" s="20">
        <v>516300</v>
      </c>
      <c r="B12" s="26" t="s">
        <v>107</v>
      </c>
      <c r="C12" s="66">
        <v>3941054</v>
      </c>
      <c r="D12" s="207">
        <f>-29836+40590</f>
        <v>10754</v>
      </c>
      <c r="E12" s="66">
        <f t="shared" si="0"/>
        <v>3951808</v>
      </c>
    </row>
    <row r="13" spans="1:5" x14ac:dyDescent="0.25">
      <c r="A13" s="20">
        <v>517100</v>
      </c>
      <c r="B13" s="26" t="s">
        <v>449</v>
      </c>
      <c r="C13" s="66">
        <v>2405875</v>
      </c>
      <c r="D13" s="207">
        <f>11002+55057-59494</f>
        <v>6565</v>
      </c>
      <c r="E13" s="66">
        <f t="shared" si="0"/>
        <v>2412440</v>
      </c>
    </row>
    <row r="14" spans="1:5" x14ac:dyDescent="0.25">
      <c r="A14" s="20">
        <v>511700</v>
      </c>
      <c r="B14" s="26" t="s">
        <v>108</v>
      </c>
      <c r="C14" s="66">
        <v>230635</v>
      </c>
      <c r="D14" s="207"/>
      <c r="E14" s="66">
        <f t="shared" si="0"/>
        <v>230635</v>
      </c>
    </row>
    <row r="15" spans="1:5" x14ac:dyDescent="0.25">
      <c r="A15" s="20">
        <v>512700</v>
      </c>
      <c r="B15" s="26" t="s">
        <v>109</v>
      </c>
      <c r="C15" s="66">
        <v>58000</v>
      </c>
      <c r="D15" s="207"/>
      <c r="E15" s="66">
        <f t="shared" si="0"/>
        <v>58000</v>
      </c>
    </row>
    <row r="16" spans="1:5" x14ac:dyDescent="0.25">
      <c r="A16" s="20">
        <v>519500</v>
      </c>
      <c r="B16" s="26" t="s">
        <v>33</v>
      </c>
      <c r="C16" s="66">
        <v>261000</v>
      </c>
      <c r="D16" s="207"/>
      <c r="E16" s="66">
        <f t="shared" si="0"/>
        <v>261000</v>
      </c>
    </row>
    <row r="17" spans="1:5" x14ac:dyDescent="0.25">
      <c r="A17" s="20">
        <v>518975</v>
      </c>
      <c r="B17" s="26" t="s">
        <v>40</v>
      </c>
      <c r="C17" s="66">
        <v>76147</v>
      </c>
      <c r="D17" s="207">
        <f>348+1743-1733</f>
        <v>358</v>
      </c>
      <c r="E17" s="66">
        <f t="shared" si="0"/>
        <v>76505</v>
      </c>
    </row>
    <row r="18" spans="1:5" x14ac:dyDescent="0.25">
      <c r="A18" s="6"/>
      <c r="B18" s="6" t="s">
        <v>102</v>
      </c>
      <c r="C18" s="65">
        <f>SUM(C8:C17)</f>
        <v>28897316</v>
      </c>
      <c r="D18" s="208">
        <f>SUM(D8:D17)</f>
        <v>-61291</v>
      </c>
      <c r="E18" s="65">
        <f>SUM(E8:E17)</f>
        <v>28836025</v>
      </c>
    </row>
    <row r="19" spans="1:5" x14ac:dyDescent="0.25">
      <c r="A19" s="20"/>
      <c r="B19" s="26"/>
      <c r="C19" s="66"/>
      <c r="D19" s="207"/>
      <c r="E19" s="66"/>
    </row>
    <row r="20" spans="1:5" x14ac:dyDescent="0.25">
      <c r="A20" s="20">
        <v>520100</v>
      </c>
      <c r="B20" s="26" t="s">
        <v>15</v>
      </c>
      <c r="C20" s="66">
        <v>2051386</v>
      </c>
      <c r="D20" s="207">
        <f>9381+46945-46678</f>
        <v>9648</v>
      </c>
      <c r="E20" s="66">
        <f t="shared" ref="E20:E26" si="1">SUM(C20:D20)</f>
        <v>2061034</v>
      </c>
    </row>
    <row r="21" spans="1:5" x14ac:dyDescent="0.25">
      <c r="A21" s="20">
        <v>521100</v>
      </c>
      <c r="B21" s="26" t="s">
        <v>20</v>
      </c>
      <c r="C21" s="66">
        <v>222203</v>
      </c>
      <c r="D21" s="207">
        <f>-1244+2289</f>
        <v>1045</v>
      </c>
      <c r="E21" s="66">
        <f t="shared" si="1"/>
        <v>223248</v>
      </c>
    </row>
    <row r="22" spans="1:5" x14ac:dyDescent="0.25">
      <c r="A22" s="20">
        <v>520400</v>
      </c>
      <c r="B22" s="26" t="s">
        <v>16</v>
      </c>
      <c r="C22" s="66">
        <v>2227824</v>
      </c>
      <c r="D22" s="207">
        <f>10187+88391-50692</f>
        <v>47886</v>
      </c>
      <c r="E22" s="66">
        <f t="shared" si="1"/>
        <v>2275710</v>
      </c>
    </row>
    <row r="23" spans="1:5" x14ac:dyDescent="0.25">
      <c r="A23" s="20">
        <v>520700</v>
      </c>
      <c r="B23" s="26" t="s">
        <v>18</v>
      </c>
      <c r="C23" s="66">
        <v>2822240</v>
      </c>
      <c r="D23" s="207"/>
      <c r="E23" s="66">
        <f t="shared" si="1"/>
        <v>2822240</v>
      </c>
    </row>
    <row r="24" spans="1:5" x14ac:dyDescent="0.25">
      <c r="A24" s="20">
        <v>520600</v>
      </c>
      <c r="B24" s="26" t="s">
        <v>17</v>
      </c>
      <c r="C24" s="66">
        <v>44400</v>
      </c>
      <c r="D24" s="207"/>
      <c r="E24" s="66">
        <f t="shared" si="1"/>
        <v>44400</v>
      </c>
    </row>
    <row r="25" spans="1:5" x14ac:dyDescent="0.25">
      <c r="A25" s="20">
        <v>529900</v>
      </c>
      <c r="B25" s="26" t="s">
        <v>450</v>
      </c>
      <c r="C25" s="66">
        <v>130000</v>
      </c>
      <c r="D25" s="207">
        <v>-65000</v>
      </c>
      <c r="E25" s="66">
        <f t="shared" si="1"/>
        <v>65000</v>
      </c>
    </row>
    <row r="26" spans="1:5" x14ac:dyDescent="0.25">
      <c r="A26" s="20">
        <v>520800</v>
      </c>
      <c r="B26" s="26" t="s">
        <v>19</v>
      </c>
      <c r="C26" s="66">
        <v>18213</v>
      </c>
      <c r="D26" s="207"/>
      <c r="E26" s="66">
        <f t="shared" si="1"/>
        <v>18213</v>
      </c>
    </row>
    <row r="27" spans="1:5" x14ac:dyDescent="0.25">
      <c r="A27" s="6"/>
      <c r="B27" s="6" t="s">
        <v>111</v>
      </c>
      <c r="C27" s="65">
        <f>SUM(C20:C26)</f>
        <v>7516266</v>
      </c>
      <c r="D27" s="208">
        <f>SUM(D20:D26)</f>
        <v>-6421</v>
      </c>
      <c r="E27" s="65">
        <f>SUM(E20:E26)</f>
        <v>7509845</v>
      </c>
    </row>
    <row r="28" spans="1:5" x14ac:dyDescent="0.25">
      <c r="A28" s="20"/>
      <c r="B28" s="26"/>
      <c r="C28" s="66"/>
      <c r="D28" s="207"/>
      <c r="E28" s="66"/>
    </row>
    <row r="29" spans="1:5" x14ac:dyDescent="0.25">
      <c r="A29" s="20">
        <v>530900</v>
      </c>
      <c r="B29" s="26" t="s">
        <v>79</v>
      </c>
      <c r="C29" s="66">
        <v>79951</v>
      </c>
      <c r="D29" s="207">
        <v>-30000</v>
      </c>
      <c r="E29" s="66">
        <f>SUM(C29:D29)</f>
        <v>49951</v>
      </c>
    </row>
    <row r="30" spans="1:5" x14ac:dyDescent="0.25">
      <c r="A30" s="20">
        <v>531000</v>
      </c>
      <c r="B30" s="26" t="s">
        <v>233</v>
      </c>
      <c r="C30" s="66">
        <v>42222</v>
      </c>
      <c r="D30" s="207">
        <v>-6722</v>
      </c>
      <c r="E30" s="66">
        <f>SUM(C30:D30)</f>
        <v>35500</v>
      </c>
    </row>
    <row r="31" spans="1:5" x14ac:dyDescent="0.25">
      <c r="A31" s="20">
        <v>531200</v>
      </c>
      <c r="B31" s="26" t="s">
        <v>59</v>
      </c>
      <c r="C31" s="66">
        <v>29782</v>
      </c>
      <c r="D31" s="207">
        <v>-10000</v>
      </c>
      <c r="E31" s="66">
        <f>SUM(C31:D31)</f>
        <v>19782</v>
      </c>
    </row>
    <row r="32" spans="1:5" x14ac:dyDescent="0.25">
      <c r="A32" s="6"/>
      <c r="B32" s="6" t="s">
        <v>4</v>
      </c>
      <c r="C32" s="65">
        <f>SUM(C29:C31)</f>
        <v>151955</v>
      </c>
      <c r="D32" s="208">
        <f>SUM(D29:D31)</f>
        <v>-46722</v>
      </c>
      <c r="E32" s="65">
        <f>SUM(E29:E31)</f>
        <v>105233</v>
      </c>
    </row>
    <row r="33" spans="1:5" x14ac:dyDescent="0.25">
      <c r="A33" s="20"/>
      <c r="B33" s="26"/>
      <c r="C33" s="66"/>
      <c r="D33" s="207"/>
      <c r="E33" s="66"/>
    </row>
    <row r="34" spans="1:5" x14ac:dyDescent="0.25">
      <c r="A34" s="20">
        <v>543500</v>
      </c>
      <c r="B34" s="26" t="s">
        <v>6</v>
      </c>
      <c r="C34" s="66">
        <v>35000</v>
      </c>
      <c r="D34" s="207"/>
      <c r="E34" s="66">
        <f>SUM(C34:D34)</f>
        <v>35000</v>
      </c>
    </row>
    <row r="35" spans="1:5" x14ac:dyDescent="0.25">
      <c r="A35" s="20">
        <v>542900</v>
      </c>
      <c r="B35" s="26" t="s">
        <v>28</v>
      </c>
      <c r="C35" s="66">
        <v>301100</v>
      </c>
      <c r="D35" s="207"/>
      <c r="E35" s="66">
        <f>SUM(C35:D35)</f>
        <v>301100</v>
      </c>
    </row>
    <row r="36" spans="1:5" x14ac:dyDescent="0.25">
      <c r="A36" s="20">
        <v>542950</v>
      </c>
      <c r="B36" s="26" t="s">
        <v>29</v>
      </c>
      <c r="C36" s="66">
        <v>76400</v>
      </c>
      <c r="D36" s="207"/>
      <c r="E36" s="66">
        <f>SUM(C36:D36)</f>
        <v>76400</v>
      </c>
    </row>
    <row r="37" spans="1:5" x14ac:dyDescent="0.25">
      <c r="A37" s="26"/>
      <c r="B37" s="6" t="s">
        <v>9</v>
      </c>
      <c r="C37" s="65">
        <f>SUM(C34:C36)</f>
        <v>412500</v>
      </c>
      <c r="D37" s="208">
        <f>SUM(D34:D36)</f>
        <v>0</v>
      </c>
      <c r="E37" s="65">
        <f>SUM(E34:E36)</f>
        <v>412500</v>
      </c>
    </row>
    <row r="38" spans="1:5" x14ac:dyDescent="0.25">
      <c r="A38" s="9"/>
      <c r="B38" s="9"/>
      <c r="C38" s="64"/>
      <c r="D38" s="207"/>
      <c r="E38" s="64"/>
    </row>
    <row r="39" spans="1:5" x14ac:dyDescent="0.25">
      <c r="A39" s="9"/>
      <c r="B39" s="9"/>
      <c r="C39" s="64"/>
      <c r="D39" s="207"/>
      <c r="E39" s="64"/>
    </row>
    <row r="40" spans="1:5" s="23" customFormat="1" ht="15.6" x14ac:dyDescent="0.3">
      <c r="A40" s="76" t="s">
        <v>236</v>
      </c>
      <c r="B40" s="12"/>
      <c r="C40" s="70">
        <f>SUM(C18+C27+C32+C37)</f>
        <v>36978037</v>
      </c>
      <c r="D40" s="209">
        <f>SUM(D18+D27+D32+D37)</f>
        <v>-114434</v>
      </c>
      <c r="E40" s="70">
        <f>SUM(E18+E27+E32+E37)</f>
        <v>36863603</v>
      </c>
    </row>
  </sheetData>
  <mergeCells count="1">
    <mergeCell ref="A4:B4"/>
  </mergeCells>
  <phoneticPr fontId="0" type="noConversion"/>
  <printOptions horizontalCentered="1"/>
  <pageMargins left="0.75" right="0.75" top="1" bottom="1" header="0.5" footer="0.5"/>
  <pageSetup scale="77" firstPageNumber="33" orientation="portrait" useFirstPageNumber="1" r:id="rId1"/>
  <headerFooter alignWithMargins="0">
    <oddFooter>&amp;C&amp;"Arial,Bold"&amp;P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E53"/>
  <sheetViews>
    <sheetView topLeftCell="A16" zoomScaleNormal="100" workbookViewId="0">
      <selection activeCell="D22" sqref="D22"/>
    </sheetView>
  </sheetViews>
  <sheetFormatPr defaultRowHeight="13.2" x14ac:dyDescent="0.25"/>
  <cols>
    <col min="1" max="1" width="11.6640625" customWidth="1"/>
    <col min="2" max="2" width="52.6640625" customWidth="1"/>
    <col min="3" max="3" width="17.6640625" customWidth="1"/>
    <col min="4" max="4" width="17.6640625" style="215" customWidth="1"/>
    <col min="5" max="6" width="17.6640625" customWidth="1"/>
    <col min="7" max="7" width="9.5546875" customWidth="1"/>
  </cols>
  <sheetData>
    <row r="1" spans="1:5" ht="15.6" x14ac:dyDescent="0.3">
      <c r="A1" s="5" t="s">
        <v>261</v>
      </c>
    </row>
    <row r="2" spans="1:5" ht="15.6" x14ac:dyDescent="0.3">
      <c r="A2" s="5" t="s">
        <v>510</v>
      </c>
    </row>
    <row r="3" spans="1:5" ht="13.8" thickBot="1" x14ac:dyDescent="0.3"/>
    <row r="4" spans="1:5" ht="15.6" x14ac:dyDescent="0.3">
      <c r="A4" s="413" t="s">
        <v>235</v>
      </c>
      <c r="B4" s="414"/>
      <c r="C4" s="94" t="s">
        <v>483</v>
      </c>
      <c r="D4" s="356"/>
      <c r="E4" s="362" t="s">
        <v>511</v>
      </c>
    </row>
    <row r="5" spans="1:5" ht="15.6" x14ac:dyDescent="0.3">
      <c r="A5" s="60"/>
      <c r="B5" s="61"/>
      <c r="C5" s="93" t="s">
        <v>345</v>
      </c>
      <c r="D5" s="358"/>
      <c r="E5" s="363" t="s">
        <v>342</v>
      </c>
    </row>
    <row r="6" spans="1:5" ht="16.2" thickBot="1" x14ac:dyDescent="0.35">
      <c r="A6" s="13"/>
      <c r="B6" s="14"/>
      <c r="C6" s="14" t="s">
        <v>290</v>
      </c>
      <c r="D6" s="360" t="s">
        <v>493</v>
      </c>
      <c r="E6" s="364" t="s">
        <v>290</v>
      </c>
    </row>
    <row r="7" spans="1:5" ht="13.8" x14ac:dyDescent="0.25">
      <c r="A7" s="62">
        <v>72220</v>
      </c>
      <c r="B7" s="78" t="s">
        <v>37</v>
      </c>
      <c r="C7" s="25"/>
      <c r="D7" s="216"/>
      <c r="E7" s="25"/>
    </row>
    <row r="8" spans="1:5" x14ac:dyDescent="0.25">
      <c r="A8" s="20">
        <v>510500</v>
      </c>
      <c r="B8" s="8" t="s">
        <v>240</v>
      </c>
      <c r="C8" s="64">
        <v>944755</v>
      </c>
      <c r="D8" s="207">
        <f>4320+21620-109497</f>
        <v>-83557</v>
      </c>
      <c r="E8" s="64">
        <f>SUM(C8:D8)</f>
        <v>861198</v>
      </c>
    </row>
    <row r="9" spans="1:5" x14ac:dyDescent="0.25">
      <c r="A9" s="20">
        <v>510400</v>
      </c>
      <c r="B9" s="8" t="s">
        <v>481</v>
      </c>
      <c r="C9" s="64">
        <v>90000</v>
      </c>
      <c r="D9" s="207">
        <f>412+2060-2226</f>
        <v>246</v>
      </c>
      <c r="E9" s="64">
        <f t="shared" ref="E9:E17" si="0">SUM(C9:D9)</f>
        <v>90246</v>
      </c>
    </row>
    <row r="10" spans="1:5" x14ac:dyDescent="0.25">
      <c r="A10" s="20">
        <v>512300</v>
      </c>
      <c r="B10" s="8" t="s">
        <v>192</v>
      </c>
      <c r="C10" s="64">
        <v>40003</v>
      </c>
      <c r="D10" s="207">
        <f>183+915-910</f>
        <v>188</v>
      </c>
      <c r="E10" s="64">
        <f t="shared" si="0"/>
        <v>40191</v>
      </c>
    </row>
    <row r="11" spans="1:5" x14ac:dyDescent="0.25">
      <c r="A11" s="71">
        <v>512400</v>
      </c>
      <c r="B11" s="42" t="s">
        <v>245</v>
      </c>
      <c r="C11" s="64">
        <v>1112487</v>
      </c>
      <c r="D11" s="207">
        <f>5087+25459-27510</f>
        <v>3036</v>
      </c>
      <c r="E11" s="64">
        <f t="shared" si="0"/>
        <v>1115523</v>
      </c>
    </row>
    <row r="12" spans="1:5" x14ac:dyDescent="0.25">
      <c r="A12" s="71">
        <v>513100</v>
      </c>
      <c r="B12" s="55" t="s">
        <v>150</v>
      </c>
      <c r="C12" s="64">
        <v>1982732</v>
      </c>
      <c r="D12" s="207">
        <f>9067+45374-49030</f>
        <v>5411</v>
      </c>
      <c r="E12" s="64">
        <f t="shared" si="0"/>
        <v>1988143</v>
      </c>
    </row>
    <row r="13" spans="1:5" x14ac:dyDescent="0.25">
      <c r="A13" s="71">
        <v>513000</v>
      </c>
      <c r="B13" s="55" t="s">
        <v>193</v>
      </c>
      <c r="C13" s="64">
        <v>777419</v>
      </c>
      <c r="D13" s="207">
        <f>3555+17791-19224</f>
        <v>2122</v>
      </c>
      <c r="E13" s="64">
        <f t="shared" si="0"/>
        <v>779541</v>
      </c>
    </row>
    <row r="14" spans="1:5" x14ac:dyDescent="0.25">
      <c r="A14" s="71">
        <v>516200</v>
      </c>
      <c r="B14" s="42" t="s">
        <v>14</v>
      </c>
      <c r="C14" s="64">
        <v>567238</v>
      </c>
      <c r="D14" s="207">
        <f>-4294-30398</f>
        <v>-34692</v>
      </c>
      <c r="E14" s="64">
        <f t="shared" si="0"/>
        <v>532546</v>
      </c>
    </row>
    <row r="15" spans="1:5" x14ac:dyDescent="0.25">
      <c r="A15" s="71">
        <v>511700</v>
      </c>
      <c r="B15" s="42" t="s">
        <v>108</v>
      </c>
      <c r="C15" s="64">
        <v>21500</v>
      </c>
      <c r="D15" s="207"/>
      <c r="E15" s="64">
        <f t="shared" si="0"/>
        <v>21500</v>
      </c>
    </row>
    <row r="16" spans="1:5" x14ac:dyDescent="0.25">
      <c r="A16" s="71">
        <v>512700</v>
      </c>
      <c r="B16" s="42" t="s">
        <v>109</v>
      </c>
      <c r="C16" s="64">
        <v>10300</v>
      </c>
      <c r="D16" s="207"/>
      <c r="E16" s="64">
        <f t="shared" si="0"/>
        <v>10300</v>
      </c>
    </row>
    <row r="17" spans="1:5" x14ac:dyDescent="0.25">
      <c r="A17" s="71">
        <v>518975</v>
      </c>
      <c r="B17" s="42" t="s">
        <v>40</v>
      </c>
      <c r="C17" s="64">
        <v>17995</v>
      </c>
      <c r="D17" s="207"/>
      <c r="E17" s="64">
        <f t="shared" si="0"/>
        <v>17995</v>
      </c>
    </row>
    <row r="18" spans="1:5" x14ac:dyDescent="0.25">
      <c r="A18" s="43"/>
      <c r="B18" s="43" t="s">
        <v>102</v>
      </c>
      <c r="C18" s="65">
        <f>SUM(C8:C17)</f>
        <v>5564429</v>
      </c>
      <c r="D18" s="208">
        <f>SUM(D8:D17)</f>
        <v>-107246</v>
      </c>
      <c r="E18" s="65">
        <f>SUM(E8:E17)</f>
        <v>5457183</v>
      </c>
    </row>
    <row r="19" spans="1:5" x14ac:dyDescent="0.25">
      <c r="A19" s="72"/>
      <c r="B19" s="44"/>
      <c r="C19" s="64"/>
      <c r="D19" s="207"/>
      <c r="E19" s="64"/>
    </row>
    <row r="20" spans="1:5" x14ac:dyDescent="0.25">
      <c r="A20" s="72">
        <v>520100</v>
      </c>
      <c r="B20" s="44" t="s">
        <v>15</v>
      </c>
      <c r="C20" s="64">
        <v>512000</v>
      </c>
      <c r="D20" s="207">
        <f>2341+11717-19150</f>
        <v>-5092</v>
      </c>
      <c r="E20" s="64">
        <f t="shared" ref="E20:E27" si="1">SUM(C20:D20)</f>
        <v>506908</v>
      </c>
    </row>
    <row r="21" spans="1:5" x14ac:dyDescent="0.25">
      <c r="A21" s="72">
        <v>521100</v>
      </c>
      <c r="B21" s="44" t="s">
        <v>20</v>
      </c>
      <c r="C21" s="64">
        <v>258920</v>
      </c>
      <c r="D21" s="207">
        <f>-1449+2667</f>
        <v>1218</v>
      </c>
      <c r="E21" s="64">
        <f t="shared" si="1"/>
        <v>260138</v>
      </c>
    </row>
    <row r="22" spans="1:5" x14ac:dyDescent="0.25">
      <c r="A22" s="72">
        <v>520400</v>
      </c>
      <c r="B22" s="44" t="s">
        <v>16</v>
      </c>
      <c r="C22" s="64">
        <v>225840</v>
      </c>
      <c r="D22" s="207">
        <f>1033+8960-14639</f>
        <v>-4646</v>
      </c>
      <c r="E22" s="64">
        <f t="shared" si="1"/>
        <v>221194</v>
      </c>
    </row>
    <row r="23" spans="1:5" x14ac:dyDescent="0.25">
      <c r="A23" s="72">
        <v>520700</v>
      </c>
      <c r="B23" s="44" t="s">
        <v>18</v>
      </c>
      <c r="C23" s="64">
        <v>535849</v>
      </c>
      <c r="D23" s="207"/>
      <c r="E23" s="64">
        <f t="shared" si="1"/>
        <v>535849</v>
      </c>
    </row>
    <row r="24" spans="1:5" x14ac:dyDescent="0.25">
      <c r="A24" s="72">
        <v>520600</v>
      </c>
      <c r="B24" s="44" t="s">
        <v>17</v>
      </c>
      <c r="C24" s="64">
        <v>8662</v>
      </c>
      <c r="D24" s="207"/>
      <c r="E24" s="64">
        <f t="shared" si="1"/>
        <v>8662</v>
      </c>
    </row>
    <row r="25" spans="1:5" x14ac:dyDescent="0.25">
      <c r="A25" s="72">
        <v>520800</v>
      </c>
      <c r="B25" s="44" t="s">
        <v>19</v>
      </c>
      <c r="C25" s="64">
        <v>3824</v>
      </c>
      <c r="D25" s="207"/>
      <c r="E25" s="64">
        <f t="shared" si="1"/>
        <v>3824</v>
      </c>
    </row>
    <row r="26" spans="1:5" x14ac:dyDescent="0.25">
      <c r="A26" s="72">
        <v>529900</v>
      </c>
      <c r="B26" s="26" t="s">
        <v>450</v>
      </c>
      <c r="C26" s="64">
        <v>2500</v>
      </c>
      <c r="D26" s="207"/>
      <c r="E26" s="64">
        <f t="shared" si="1"/>
        <v>2500</v>
      </c>
    </row>
    <row r="27" spans="1:5" x14ac:dyDescent="0.25">
      <c r="A27" s="72">
        <v>529700</v>
      </c>
      <c r="B27" s="26" t="s">
        <v>196</v>
      </c>
      <c r="C27" s="64">
        <v>27635</v>
      </c>
      <c r="D27" s="207"/>
      <c r="E27" s="64">
        <f t="shared" si="1"/>
        <v>27635</v>
      </c>
    </row>
    <row r="28" spans="1:5" x14ac:dyDescent="0.25">
      <c r="A28" s="43"/>
      <c r="B28" s="43" t="s">
        <v>111</v>
      </c>
      <c r="C28" s="65">
        <f>SUM(C20:C27)</f>
        <v>1575230</v>
      </c>
      <c r="D28" s="208">
        <f>SUM(D20:D27)</f>
        <v>-8520</v>
      </c>
      <c r="E28" s="65">
        <f>SUM(E20:E27)</f>
        <v>1566710</v>
      </c>
    </row>
    <row r="29" spans="1:5" x14ac:dyDescent="0.25">
      <c r="A29" s="72"/>
      <c r="B29" s="44"/>
      <c r="C29" s="64"/>
      <c r="D29" s="207"/>
      <c r="E29" s="64"/>
    </row>
    <row r="30" spans="1:5" x14ac:dyDescent="0.25">
      <c r="A30" s="72">
        <v>539900</v>
      </c>
      <c r="B30" s="44" t="s">
        <v>22</v>
      </c>
      <c r="C30" s="64">
        <v>1500</v>
      </c>
      <c r="D30" s="207"/>
      <c r="E30" s="64">
        <f t="shared" ref="E30:E36" si="2">SUM(C30:D30)</f>
        <v>1500</v>
      </c>
    </row>
    <row r="31" spans="1:5" x14ac:dyDescent="0.25">
      <c r="A31" s="72">
        <v>533600</v>
      </c>
      <c r="B31" s="44" t="s">
        <v>42</v>
      </c>
      <c r="C31" s="64">
        <v>18400</v>
      </c>
      <c r="D31" s="207"/>
      <c r="E31" s="64">
        <f t="shared" si="2"/>
        <v>18400</v>
      </c>
    </row>
    <row r="32" spans="1:5" x14ac:dyDescent="0.25">
      <c r="A32" s="72">
        <v>530700</v>
      </c>
      <c r="B32" s="44" t="s">
        <v>1</v>
      </c>
      <c r="C32" s="64">
        <v>14150</v>
      </c>
      <c r="D32" s="207"/>
      <c r="E32" s="64">
        <f t="shared" si="2"/>
        <v>14150</v>
      </c>
    </row>
    <row r="33" spans="1:5" x14ac:dyDescent="0.25">
      <c r="A33" s="72">
        <v>534800</v>
      </c>
      <c r="B33" s="26" t="s">
        <v>335</v>
      </c>
      <c r="C33" s="64">
        <v>650</v>
      </c>
      <c r="D33" s="207"/>
      <c r="E33" s="64">
        <f t="shared" si="2"/>
        <v>650</v>
      </c>
    </row>
    <row r="34" spans="1:5" x14ac:dyDescent="0.25">
      <c r="A34" s="20">
        <v>532200</v>
      </c>
      <c r="B34" s="26" t="s">
        <v>132</v>
      </c>
      <c r="C34" s="64">
        <v>7500</v>
      </c>
      <c r="D34" s="207"/>
      <c r="E34" s="64">
        <f t="shared" si="2"/>
        <v>7500</v>
      </c>
    </row>
    <row r="35" spans="1:5" x14ac:dyDescent="0.25">
      <c r="A35" s="72">
        <v>531200</v>
      </c>
      <c r="B35" s="44" t="s">
        <v>59</v>
      </c>
      <c r="C35" s="64">
        <v>122609</v>
      </c>
      <c r="D35" s="207">
        <v>-10000</v>
      </c>
      <c r="E35" s="64">
        <f t="shared" si="2"/>
        <v>112609</v>
      </c>
    </row>
    <row r="36" spans="1:5" x14ac:dyDescent="0.25">
      <c r="A36" s="72">
        <v>535500</v>
      </c>
      <c r="B36" s="44" t="s">
        <v>2</v>
      </c>
      <c r="C36" s="64">
        <v>97135</v>
      </c>
      <c r="D36" s="207"/>
      <c r="E36" s="64">
        <f t="shared" si="2"/>
        <v>97135</v>
      </c>
    </row>
    <row r="37" spans="1:5" x14ac:dyDescent="0.25">
      <c r="A37" s="43"/>
      <c r="B37" s="43" t="s">
        <v>4</v>
      </c>
      <c r="C37" s="65">
        <f>SUM(C30:C36)</f>
        <v>261944</v>
      </c>
      <c r="D37" s="208">
        <f>SUM(D30:D36)</f>
        <v>-10000</v>
      </c>
      <c r="E37" s="65">
        <f>SUM(E30:E36)</f>
        <v>251944</v>
      </c>
    </row>
    <row r="38" spans="1:5" x14ac:dyDescent="0.25">
      <c r="A38" s="72"/>
      <c r="B38" s="44"/>
      <c r="C38" s="64"/>
      <c r="D38" s="207"/>
      <c r="E38" s="64"/>
    </row>
    <row r="39" spans="1:5" x14ac:dyDescent="0.25">
      <c r="A39" s="72">
        <v>542200</v>
      </c>
      <c r="B39" s="44" t="s">
        <v>25</v>
      </c>
      <c r="C39" s="64">
        <v>750</v>
      </c>
      <c r="D39" s="207"/>
      <c r="E39" s="64">
        <f t="shared" ref="E39:E45" si="3">SUM(C39:D39)</f>
        <v>750</v>
      </c>
    </row>
    <row r="40" spans="1:5" ht="12.75" customHeight="1" x14ac:dyDescent="0.25">
      <c r="A40" s="72">
        <v>545260</v>
      </c>
      <c r="B40" s="44" t="s">
        <v>5</v>
      </c>
      <c r="C40" s="64">
        <v>1625</v>
      </c>
      <c r="D40" s="207"/>
      <c r="E40" s="64">
        <f t="shared" si="3"/>
        <v>1625</v>
      </c>
    </row>
    <row r="41" spans="1:5" ht="12.75" customHeight="1" x14ac:dyDescent="0.25">
      <c r="A41" s="72">
        <v>543500</v>
      </c>
      <c r="B41" s="44" t="s">
        <v>6</v>
      </c>
      <c r="C41" s="64">
        <v>27400</v>
      </c>
      <c r="D41" s="207"/>
      <c r="E41" s="64">
        <f t="shared" si="3"/>
        <v>27400</v>
      </c>
    </row>
    <row r="42" spans="1:5" ht="12.75" customHeight="1" x14ac:dyDescent="0.25">
      <c r="A42" s="20">
        <v>542900</v>
      </c>
      <c r="B42" s="26" t="s">
        <v>28</v>
      </c>
      <c r="C42" s="64">
        <v>50000</v>
      </c>
      <c r="D42" s="207"/>
      <c r="E42" s="64">
        <f t="shared" si="3"/>
        <v>50000</v>
      </c>
    </row>
    <row r="43" spans="1:5" ht="12.75" customHeight="1" x14ac:dyDescent="0.25">
      <c r="A43" s="20">
        <v>542950</v>
      </c>
      <c r="B43" s="26" t="s">
        <v>29</v>
      </c>
      <c r="C43" s="64">
        <v>50000</v>
      </c>
      <c r="D43" s="207"/>
      <c r="E43" s="64">
        <f t="shared" si="3"/>
        <v>50000</v>
      </c>
    </row>
    <row r="44" spans="1:5" x14ac:dyDescent="0.25">
      <c r="A44" s="72">
        <v>543200</v>
      </c>
      <c r="B44" s="44" t="s">
        <v>8</v>
      </c>
      <c r="C44" s="64">
        <v>1200</v>
      </c>
      <c r="D44" s="207"/>
      <c r="E44" s="64">
        <f t="shared" si="3"/>
        <v>1200</v>
      </c>
    </row>
    <row r="45" spans="1:5" x14ac:dyDescent="0.25">
      <c r="A45" s="72">
        <v>543700</v>
      </c>
      <c r="B45" s="44" t="s">
        <v>43</v>
      </c>
      <c r="C45" s="64">
        <v>2000</v>
      </c>
      <c r="D45" s="207"/>
      <c r="E45" s="64">
        <f t="shared" si="3"/>
        <v>2000</v>
      </c>
    </row>
    <row r="46" spans="1:5" x14ac:dyDescent="0.25">
      <c r="A46" s="72"/>
      <c r="B46" s="43" t="s">
        <v>9</v>
      </c>
      <c r="C46" s="65">
        <f>SUM(C39:C45)</f>
        <v>132975</v>
      </c>
      <c r="D46" s="208">
        <f>SUM(D39:D45)</f>
        <v>0</v>
      </c>
      <c r="E46" s="65">
        <f>SUM(E39:E45)</f>
        <v>132975</v>
      </c>
    </row>
    <row r="47" spans="1:5" x14ac:dyDescent="0.25">
      <c r="A47" s="57"/>
      <c r="B47" s="44"/>
      <c r="C47" s="64"/>
      <c r="D47" s="207"/>
      <c r="E47" s="64"/>
    </row>
    <row r="48" spans="1:5" x14ac:dyDescent="0.25">
      <c r="A48" s="72">
        <v>552400</v>
      </c>
      <c r="B48" s="26" t="s">
        <v>11</v>
      </c>
      <c r="C48" s="64">
        <v>75040</v>
      </c>
      <c r="D48" s="207"/>
      <c r="E48" s="64">
        <f>SUM(C48:D48)</f>
        <v>75040</v>
      </c>
    </row>
    <row r="49" spans="1:5" x14ac:dyDescent="0.25">
      <c r="A49" s="72">
        <v>550200</v>
      </c>
      <c r="B49" s="26" t="s">
        <v>77</v>
      </c>
      <c r="C49" s="64">
        <v>3000</v>
      </c>
      <c r="D49" s="207"/>
      <c r="E49" s="64">
        <f>SUM(C49:D49)</f>
        <v>3000</v>
      </c>
    </row>
    <row r="50" spans="1:5" x14ac:dyDescent="0.25">
      <c r="A50" s="9"/>
      <c r="B50" s="6" t="s">
        <v>12</v>
      </c>
      <c r="C50" s="65">
        <f>SUM(C48:C49)</f>
        <v>78040</v>
      </c>
      <c r="D50" s="208">
        <f>SUM(D48:D49)</f>
        <v>0</v>
      </c>
      <c r="E50" s="65">
        <f>SUM(E48:E49)</f>
        <v>78040</v>
      </c>
    </row>
    <row r="51" spans="1:5" x14ac:dyDescent="0.25">
      <c r="A51" s="9"/>
      <c r="B51" s="9"/>
      <c r="C51" s="64"/>
      <c r="D51" s="207"/>
      <c r="E51" s="64"/>
    </row>
    <row r="52" spans="1:5" x14ac:dyDescent="0.25">
      <c r="A52" s="9"/>
      <c r="B52" s="9"/>
      <c r="C52" s="64"/>
      <c r="D52" s="207"/>
      <c r="E52" s="64"/>
    </row>
    <row r="53" spans="1:5" s="23" customFormat="1" ht="15.6" x14ac:dyDescent="0.3">
      <c r="A53" s="12" t="s">
        <v>238</v>
      </c>
      <c r="B53" s="12"/>
      <c r="C53" s="70">
        <f>+C50+C46+C37+C28+C18</f>
        <v>7612618</v>
      </c>
      <c r="D53" s="209">
        <f>+D50+D46+D37+D28+D18</f>
        <v>-125766</v>
      </c>
      <c r="E53" s="70">
        <f>+E50+E46+E37+E28+E18</f>
        <v>7486852</v>
      </c>
    </row>
  </sheetData>
  <mergeCells count="1">
    <mergeCell ref="A4:B4"/>
  </mergeCells>
  <phoneticPr fontId="0" type="noConversion"/>
  <printOptions horizontalCentered="1"/>
  <pageMargins left="0.75" right="0.75" top="0.75" bottom="0.75" header="0.5" footer="0.5"/>
  <pageSetup scale="77" firstPageNumber="34" orientation="portrait" useFirstPageNumber="1" r:id="rId1"/>
  <headerFooter alignWithMargins="0">
    <oddFooter>&amp;C&amp;"Arial,Bold"&amp;P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J39"/>
  <sheetViews>
    <sheetView workbookViewId="0">
      <selection activeCell="D18" sqref="D18"/>
    </sheetView>
  </sheetViews>
  <sheetFormatPr defaultRowHeight="13.2" x14ac:dyDescent="0.25"/>
  <cols>
    <col min="1" max="1" width="11.6640625" customWidth="1"/>
    <col min="2" max="2" width="52.6640625" customWidth="1"/>
    <col min="3" max="3" width="17.6640625" customWidth="1"/>
    <col min="4" max="4" width="17.6640625" style="215" customWidth="1"/>
    <col min="5" max="6" width="17.6640625" customWidth="1"/>
  </cols>
  <sheetData>
    <row r="1" spans="1:8" ht="15.6" x14ac:dyDescent="0.3">
      <c r="A1" s="5" t="s">
        <v>261</v>
      </c>
    </row>
    <row r="2" spans="1:8" ht="15.6" x14ac:dyDescent="0.3">
      <c r="A2" s="5" t="s">
        <v>510</v>
      </c>
    </row>
    <row r="3" spans="1:8" ht="13.8" thickBot="1" x14ac:dyDescent="0.3"/>
    <row r="4" spans="1:8" ht="15.6" x14ac:dyDescent="0.3">
      <c r="A4" s="413" t="s">
        <v>105</v>
      </c>
      <c r="B4" s="414"/>
      <c r="C4" s="94" t="s">
        <v>483</v>
      </c>
      <c r="D4" s="356"/>
      <c r="E4" s="362" t="s">
        <v>511</v>
      </c>
    </row>
    <row r="5" spans="1:8" ht="15.6" x14ac:dyDescent="0.3">
      <c r="A5" s="60"/>
      <c r="B5" s="61"/>
      <c r="C5" s="93" t="s">
        <v>345</v>
      </c>
      <c r="D5" s="358"/>
      <c r="E5" s="363" t="s">
        <v>342</v>
      </c>
    </row>
    <row r="6" spans="1:8" ht="16.2" thickBot="1" x14ac:dyDescent="0.35">
      <c r="A6" s="13"/>
      <c r="B6" s="14"/>
      <c r="C6" s="14" t="s">
        <v>290</v>
      </c>
      <c r="D6" s="360" t="s">
        <v>493</v>
      </c>
      <c r="E6" s="364" t="s">
        <v>290</v>
      </c>
    </row>
    <row r="7" spans="1:8" ht="13.8" x14ac:dyDescent="0.25">
      <c r="A7" s="62">
        <v>71300</v>
      </c>
      <c r="B7" s="78" t="s">
        <v>32</v>
      </c>
      <c r="C7" s="25"/>
      <c r="D7" s="216"/>
      <c r="E7" s="25"/>
    </row>
    <row r="8" spans="1:8" x14ac:dyDescent="0.25">
      <c r="A8" s="20">
        <v>511600</v>
      </c>
      <c r="B8" s="26" t="s">
        <v>106</v>
      </c>
      <c r="C8" s="66">
        <v>9722156</v>
      </c>
      <c r="D8" s="207">
        <f>44457+222486-221220</f>
        <v>45723</v>
      </c>
      <c r="E8" s="66">
        <f>SUM(C8:D8)</f>
        <v>9767879</v>
      </c>
      <c r="H8" s="56"/>
    </row>
    <row r="9" spans="1:8" x14ac:dyDescent="0.25">
      <c r="A9" s="20">
        <v>516300</v>
      </c>
      <c r="B9" s="26" t="s">
        <v>107</v>
      </c>
      <c r="C9" s="66">
        <v>20151</v>
      </c>
      <c r="D9" s="207">
        <f>-153+208</f>
        <v>55</v>
      </c>
      <c r="E9" s="66">
        <f>SUM(C9:D9)</f>
        <v>20206</v>
      </c>
      <c r="H9" s="56"/>
    </row>
    <row r="10" spans="1:8" x14ac:dyDescent="0.25">
      <c r="A10" s="20">
        <v>511700</v>
      </c>
      <c r="B10" s="26" t="s">
        <v>108</v>
      </c>
      <c r="C10" s="66">
        <v>116530</v>
      </c>
      <c r="D10" s="207"/>
      <c r="E10" s="66">
        <f>SUM(C10:D10)</f>
        <v>116530</v>
      </c>
    </row>
    <row r="11" spans="1:8" x14ac:dyDescent="0.25">
      <c r="A11" s="20">
        <v>512700</v>
      </c>
      <c r="B11" s="26" t="s">
        <v>109</v>
      </c>
      <c r="C11" s="66">
        <v>35800</v>
      </c>
      <c r="D11" s="207"/>
      <c r="E11" s="66">
        <f>SUM(C11:D11)</f>
        <v>35800</v>
      </c>
    </row>
    <row r="12" spans="1:8" x14ac:dyDescent="0.25">
      <c r="A12" s="20">
        <v>519500</v>
      </c>
      <c r="B12" s="26" t="s">
        <v>110</v>
      </c>
      <c r="C12" s="66">
        <v>140000</v>
      </c>
      <c r="D12" s="207"/>
      <c r="E12" s="66">
        <f>SUM(C12:D12)</f>
        <v>140000</v>
      </c>
    </row>
    <row r="13" spans="1:8" x14ac:dyDescent="0.25">
      <c r="A13" s="6"/>
      <c r="B13" s="6" t="s">
        <v>102</v>
      </c>
      <c r="C13" s="65">
        <f>SUM(C8:C12)</f>
        <v>10034637</v>
      </c>
      <c r="D13" s="208">
        <f>SUM(D8:D12)</f>
        <v>45778</v>
      </c>
      <c r="E13" s="65">
        <f>SUM(E8:E12)</f>
        <v>10080415</v>
      </c>
    </row>
    <row r="14" spans="1:8" x14ac:dyDescent="0.25">
      <c r="A14" s="20"/>
      <c r="B14" s="26"/>
      <c r="C14" s="66"/>
      <c r="D14" s="207"/>
      <c r="E14" s="66"/>
    </row>
    <row r="15" spans="1:8" x14ac:dyDescent="0.25">
      <c r="A15" s="20">
        <v>520200</v>
      </c>
      <c r="B15" s="26" t="s">
        <v>157</v>
      </c>
      <c r="C15" s="66">
        <v>50000</v>
      </c>
      <c r="D15" s="207"/>
      <c r="E15" s="66">
        <f t="shared" ref="E15:E20" si="0">SUM(C15:D15)</f>
        <v>50000</v>
      </c>
    </row>
    <row r="16" spans="1:8" x14ac:dyDescent="0.25">
      <c r="A16" s="20">
        <v>520100</v>
      </c>
      <c r="B16" s="26" t="s">
        <v>15</v>
      </c>
      <c r="C16" s="66">
        <v>690252</v>
      </c>
      <c r="D16" s="207">
        <f>3156+15796-15706</f>
        <v>3246</v>
      </c>
      <c r="E16" s="66">
        <f t="shared" si="0"/>
        <v>693498</v>
      </c>
    </row>
    <row r="17" spans="1:10" x14ac:dyDescent="0.25">
      <c r="A17" s="20">
        <v>520400</v>
      </c>
      <c r="B17" s="26" t="s">
        <v>16</v>
      </c>
      <c r="C17" s="66">
        <v>916923</v>
      </c>
      <c r="D17" s="207">
        <f>4193+36380-20864</f>
        <v>19709</v>
      </c>
      <c r="E17" s="66">
        <f t="shared" si="0"/>
        <v>936632</v>
      </c>
    </row>
    <row r="18" spans="1:10" x14ac:dyDescent="0.25">
      <c r="A18" s="20">
        <v>520700</v>
      </c>
      <c r="B18" s="26" t="s">
        <v>18</v>
      </c>
      <c r="C18" s="66">
        <v>1022846</v>
      </c>
      <c r="D18" s="207"/>
      <c r="E18" s="66">
        <f t="shared" si="0"/>
        <v>1022846</v>
      </c>
    </row>
    <row r="19" spans="1:10" x14ac:dyDescent="0.25">
      <c r="A19" s="20">
        <v>520600</v>
      </c>
      <c r="B19" s="26" t="s">
        <v>17</v>
      </c>
      <c r="C19" s="66">
        <v>19290</v>
      </c>
      <c r="D19" s="207"/>
      <c r="E19" s="66">
        <f t="shared" si="0"/>
        <v>19290</v>
      </c>
    </row>
    <row r="20" spans="1:10" x14ac:dyDescent="0.25">
      <c r="A20" s="20">
        <v>520800</v>
      </c>
      <c r="B20" s="26" t="s">
        <v>19</v>
      </c>
      <c r="C20" s="66">
        <v>5150</v>
      </c>
      <c r="D20" s="207"/>
      <c r="E20" s="66">
        <f t="shared" si="0"/>
        <v>5150</v>
      </c>
    </row>
    <row r="21" spans="1:10" x14ac:dyDescent="0.25">
      <c r="A21" s="6"/>
      <c r="B21" s="6" t="s">
        <v>111</v>
      </c>
      <c r="C21" s="65">
        <f>SUM(C15:C20)</f>
        <v>2704461</v>
      </c>
      <c r="D21" s="208">
        <f>SUM(D15:D20)</f>
        <v>22955</v>
      </c>
      <c r="E21" s="65">
        <f>SUM(E15:E20)</f>
        <v>2727416</v>
      </c>
      <c r="G21" s="56"/>
      <c r="J21" s="56"/>
    </row>
    <row r="22" spans="1:10" x14ac:dyDescent="0.25">
      <c r="A22" s="20"/>
      <c r="B22" s="26"/>
      <c r="C22" s="66"/>
      <c r="D22" s="207"/>
      <c r="E22" s="66"/>
    </row>
    <row r="23" spans="1:10" x14ac:dyDescent="0.25">
      <c r="A23" s="20">
        <v>535500</v>
      </c>
      <c r="B23" s="26" t="s">
        <v>2</v>
      </c>
      <c r="C23" s="66">
        <v>7000</v>
      </c>
      <c r="D23" s="207"/>
      <c r="E23" s="66">
        <f>SUM(C23:D23)</f>
        <v>7000</v>
      </c>
    </row>
    <row r="24" spans="1:10" x14ac:dyDescent="0.25">
      <c r="A24" s="6"/>
      <c r="B24" s="6" t="s">
        <v>4</v>
      </c>
      <c r="C24" s="65">
        <f>SUM(C23:C23)</f>
        <v>7000</v>
      </c>
      <c r="D24" s="208">
        <f>SUM(D23:D23)</f>
        <v>0</v>
      </c>
      <c r="E24" s="65">
        <f>SUM(E23:E23)</f>
        <v>7000</v>
      </c>
    </row>
    <row r="25" spans="1:10" x14ac:dyDescent="0.25">
      <c r="A25" s="20"/>
      <c r="B25" s="26"/>
      <c r="C25" s="66"/>
      <c r="D25" s="207"/>
      <c r="E25" s="66"/>
    </row>
    <row r="26" spans="1:10" x14ac:dyDescent="0.25">
      <c r="A26" s="20">
        <v>543500</v>
      </c>
      <c r="B26" s="26" t="s">
        <v>6</v>
      </c>
      <c r="C26" s="66">
        <v>126741</v>
      </c>
      <c r="D26" s="207">
        <v>-18062</v>
      </c>
      <c r="E26" s="66">
        <f>SUM(C26:D26)</f>
        <v>108679</v>
      </c>
    </row>
    <row r="27" spans="1:10" x14ac:dyDescent="0.25">
      <c r="A27" s="20">
        <v>542900</v>
      </c>
      <c r="B27" s="26" t="s">
        <v>28</v>
      </c>
      <c r="C27" s="66">
        <v>138000</v>
      </c>
      <c r="D27" s="207">
        <v>-20199</v>
      </c>
      <c r="E27" s="66">
        <f>SUM(C27:D27)</f>
        <v>117801</v>
      </c>
    </row>
    <row r="28" spans="1:10" x14ac:dyDescent="0.25">
      <c r="A28" s="20">
        <v>542950</v>
      </c>
      <c r="B28" s="26" t="s">
        <v>29</v>
      </c>
      <c r="C28" s="66">
        <v>55846</v>
      </c>
      <c r="D28" s="207">
        <v>-7602</v>
      </c>
      <c r="E28" s="66">
        <f>SUM(C28:D28)</f>
        <v>48244</v>
      </c>
    </row>
    <row r="29" spans="1:10" x14ac:dyDescent="0.25">
      <c r="A29" s="20">
        <v>543100</v>
      </c>
      <c r="B29" s="26" t="s">
        <v>64</v>
      </c>
      <c r="C29" s="66">
        <v>2500</v>
      </c>
      <c r="D29" s="207"/>
      <c r="E29" s="66">
        <f>SUM(C29:D29)</f>
        <v>2500</v>
      </c>
    </row>
    <row r="30" spans="1:10" x14ac:dyDescent="0.25">
      <c r="A30" s="6"/>
      <c r="B30" s="6" t="s">
        <v>9</v>
      </c>
      <c r="C30" s="65">
        <f>SUM(C26:C29)</f>
        <v>323087</v>
      </c>
      <c r="D30" s="208">
        <f>SUM(D26:D29)</f>
        <v>-45863</v>
      </c>
      <c r="E30" s="65">
        <f>SUM(E26:E29)</f>
        <v>277224</v>
      </c>
    </row>
    <row r="31" spans="1:10" x14ac:dyDescent="0.25">
      <c r="A31" s="6"/>
      <c r="B31" s="6"/>
      <c r="C31" s="66"/>
      <c r="D31" s="207"/>
      <c r="E31" s="66"/>
    </row>
    <row r="32" spans="1:10" x14ac:dyDescent="0.25">
      <c r="A32" s="20">
        <v>573000</v>
      </c>
      <c r="B32" s="26" t="s">
        <v>115</v>
      </c>
      <c r="C32" s="66">
        <v>51113</v>
      </c>
      <c r="D32" s="207"/>
      <c r="E32" s="66">
        <f>SUM(C32:D32)</f>
        <v>51113</v>
      </c>
    </row>
    <row r="33" spans="1:5" x14ac:dyDescent="0.25">
      <c r="A33" s="6"/>
      <c r="B33" s="6" t="s">
        <v>45</v>
      </c>
      <c r="C33" s="65">
        <f>SUM(C32)</f>
        <v>51113</v>
      </c>
      <c r="D33" s="208">
        <f>SUM(D32)</f>
        <v>0</v>
      </c>
      <c r="E33" s="65">
        <f>SUM(E32)</f>
        <v>51113</v>
      </c>
    </row>
    <row r="34" spans="1:5" x14ac:dyDescent="0.25">
      <c r="A34" s="20"/>
      <c r="B34" s="26"/>
      <c r="C34" s="66"/>
      <c r="D34" s="207"/>
      <c r="E34" s="66"/>
    </row>
    <row r="35" spans="1:5" x14ac:dyDescent="0.25">
      <c r="A35" s="20">
        <v>559900</v>
      </c>
      <c r="B35" s="26" t="s">
        <v>116</v>
      </c>
      <c r="C35" s="66">
        <v>2600</v>
      </c>
      <c r="D35" s="207"/>
      <c r="E35" s="66">
        <f>SUM(C35:D35)</f>
        <v>2600</v>
      </c>
    </row>
    <row r="36" spans="1:5" x14ac:dyDescent="0.25">
      <c r="A36" s="16"/>
      <c r="B36" s="6" t="s">
        <v>12</v>
      </c>
      <c r="C36" s="65">
        <f>SUM(C35)</f>
        <v>2600</v>
      </c>
      <c r="D36" s="208">
        <f>SUM(D35)</f>
        <v>0</v>
      </c>
      <c r="E36" s="65">
        <f>SUM(E35)</f>
        <v>2600</v>
      </c>
    </row>
    <row r="37" spans="1:5" x14ac:dyDescent="0.25">
      <c r="A37" s="27"/>
      <c r="B37" s="28"/>
      <c r="C37" s="64"/>
      <c r="D37" s="207"/>
      <c r="E37" s="64"/>
    </row>
    <row r="38" spans="1:5" x14ac:dyDescent="0.25">
      <c r="A38" s="27"/>
      <c r="B38" s="28"/>
      <c r="C38" s="64"/>
      <c r="D38" s="207"/>
      <c r="E38" s="64"/>
    </row>
    <row r="39" spans="1:5" s="1" customFormat="1" ht="15.6" x14ac:dyDescent="0.3">
      <c r="A39" s="12" t="s">
        <v>117</v>
      </c>
      <c r="B39" s="58"/>
      <c r="C39" s="70">
        <f>SUM(C13+C21+C24+C30+C36+C33)</f>
        <v>13122898</v>
      </c>
      <c r="D39" s="209">
        <f>SUM(D13+D21+D24+D30+D36+D33)</f>
        <v>22870</v>
      </c>
      <c r="E39" s="70">
        <f>SUM(E13+E21+E24+E30+E36+E33)</f>
        <v>13145768</v>
      </c>
    </row>
  </sheetData>
  <mergeCells count="1">
    <mergeCell ref="A4:B4"/>
  </mergeCells>
  <phoneticPr fontId="0" type="noConversion"/>
  <printOptions horizontalCentered="1"/>
  <pageMargins left="0.75" right="0.75" top="1" bottom="1" header="0.5" footer="0.5"/>
  <pageSetup scale="77" firstPageNumber="35" orientation="portrait" useFirstPageNumber="1" r:id="rId1"/>
  <headerFooter alignWithMargins="0">
    <oddFooter>&amp;C&amp;"Arial,Bold"&amp;P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H37"/>
  <sheetViews>
    <sheetView workbookViewId="0">
      <selection activeCell="D17" sqref="D17"/>
    </sheetView>
  </sheetViews>
  <sheetFormatPr defaultRowHeight="13.2" x14ac:dyDescent="0.25"/>
  <cols>
    <col min="1" max="1" width="11.6640625" customWidth="1"/>
    <col min="2" max="2" width="52.6640625" customWidth="1"/>
    <col min="3" max="3" width="17.6640625" customWidth="1"/>
    <col min="4" max="4" width="17.6640625" style="215" customWidth="1"/>
    <col min="5" max="6" width="17.6640625" customWidth="1"/>
  </cols>
  <sheetData>
    <row r="1" spans="1:8" ht="15.6" x14ac:dyDescent="0.3">
      <c r="A1" s="5" t="s">
        <v>261</v>
      </c>
    </row>
    <row r="2" spans="1:8" ht="15.6" x14ac:dyDescent="0.3">
      <c r="A2" s="5" t="s">
        <v>510</v>
      </c>
    </row>
    <row r="3" spans="1:8" ht="13.8" thickBot="1" x14ac:dyDescent="0.3"/>
    <row r="4" spans="1:8" ht="15.6" x14ac:dyDescent="0.3">
      <c r="A4" s="413" t="s">
        <v>123</v>
      </c>
      <c r="B4" s="414"/>
      <c r="C4" s="94" t="s">
        <v>483</v>
      </c>
      <c r="D4" s="356"/>
      <c r="E4" s="362" t="s">
        <v>511</v>
      </c>
    </row>
    <row r="5" spans="1:8" ht="15.6" x14ac:dyDescent="0.3">
      <c r="A5" s="60"/>
      <c r="B5" s="61"/>
      <c r="C5" s="93" t="s">
        <v>345</v>
      </c>
      <c r="D5" s="358"/>
      <c r="E5" s="363" t="s">
        <v>342</v>
      </c>
    </row>
    <row r="6" spans="1:8" ht="16.2" thickBot="1" x14ac:dyDescent="0.35">
      <c r="A6" s="13"/>
      <c r="B6" s="14"/>
      <c r="C6" s="14" t="s">
        <v>290</v>
      </c>
      <c r="D6" s="360" t="s">
        <v>493</v>
      </c>
      <c r="E6" s="364" t="s">
        <v>290</v>
      </c>
    </row>
    <row r="7" spans="1:8" ht="13.8" x14ac:dyDescent="0.25">
      <c r="A7" s="62">
        <v>72230</v>
      </c>
      <c r="B7" s="78" t="s">
        <v>37</v>
      </c>
      <c r="C7" s="25"/>
      <c r="D7" s="216"/>
      <c r="E7" s="25"/>
    </row>
    <row r="8" spans="1:8" x14ac:dyDescent="0.25">
      <c r="A8" s="20">
        <v>510500</v>
      </c>
      <c r="B8" s="26" t="s">
        <v>198</v>
      </c>
      <c r="C8" s="66">
        <v>179576</v>
      </c>
      <c r="D8" s="207">
        <f>821+4109-4441</f>
        <v>489</v>
      </c>
      <c r="E8" s="66">
        <f>SUM(C8:D8)</f>
        <v>180065</v>
      </c>
    </row>
    <row r="9" spans="1:8" x14ac:dyDescent="0.25">
      <c r="A9" s="20">
        <v>516100</v>
      </c>
      <c r="B9" s="26" t="s">
        <v>56</v>
      </c>
      <c r="C9" s="66">
        <v>93615</v>
      </c>
      <c r="D9" s="207">
        <f>-709+964</f>
        <v>255</v>
      </c>
      <c r="E9" s="66">
        <f>SUM(C9:D9)</f>
        <v>93870</v>
      </c>
    </row>
    <row r="10" spans="1:8" x14ac:dyDescent="0.25">
      <c r="A10" s="20">
        <v>516200</v>
      </c>
      <c r="B10" s="26" t="s">
        <v>14</v>
      </c>
      <c r="C10" s="66">
        <v>85203</v>
      </c>
      <c r="D10" s="207">
        <f>-645+878</f>
        <v>233</v>
      </c>
      <c r="E10" s="66">
        <f>SUM(C10:D10)</f>
        <v>85436</v>
      </c>
    </row>
    <row r="11" spans="1:8" x14ac:dyDescent="0.25">
      <c r="A11" s="20">
        <v>511700</v>
      </c>
      <c r="B11" s="26" t="s">
        <v>108</v>
      </c>
      <c r="C11" s="66">
        <v>3000</v>
      </c>
      <c r="D11" s="207"/>
      <c r="E11" s="66">
        <f>SUM(C11:D11)</f>
        <v>3000</v>
      </c>
    </row>
    <row r="12" spans="1:8" x14ac:dyDescent="0.25">
      <c r="A12" s="6"/>
      <c r="B12" s="6" t="s">
        <v>102</v>
      </c>
      <c r="C12" s="65">
        <f>SUM(C8:C11)</f>
        <v>361394</v>
      </c>
      <c r="D12" s="208">
        <f>SUM(D8:D11)</f>
        <v>977</v>
      </c>
      <c r="E12" s="65">
        <f>SUM(E8:E11)</f>
        <v>362371</v>
      </c>
      <c r="H12" s="56"/>
    </row>
    <row r="13" spans="1:8" x14ac:dyDescent="0.25">
      <c r="A13" s="20"/>
      <c r="B13" s="26"/>
      <c r="C13" s="66"/>
      <c r="D13" s="207"/>
      <c r="E13" s="66"/>
      <c r="H13" s="56"/>
    </row>
    <row r="14" spans="1:8" x14ac:dyDescent="0.25">
      <c r="A14" s="20">
        <v>520100</v>
      </c>
      <c r="B14" s="26" t="s">
        <v>15</v>
      </c>
      <c r="C14" s="66">
        <v>24898</v>
      </c>
      <c r="D14" s="207">
        <f>114+570-567</f>
        <v>117</v>
      </c>
      <c r="E14" s="66">
        <f t="shared" ref="E14:E20" si="0">SUM(C14:D14)</f>
        <v>25015</v>
      </c>
    </row>
    <row r="15" spans="1:8" x14ac:dyDescent="0.25">
      <c r="A15" s="20">
        <v>521100</v>
      </c>
      <c r="B15" s="26" t="s">
        <v>20</v>
      </c>
      <c r="C15" s="66">
        <v>8303</v>
      </c>
      <c r="D15" s="207">
        <f>-46+86</f>
        <v>40</v>
      </c>
      <c r="E15" s="66">
        <f t="shared" si="0"/>
        <v>8343</v>
      </c>
    </row>
    <row r="16" spans="1:8" x14ac:dyDescent="0.25">
      <c r="A16" s="20">
        <v>520400</v>
      </c>
      <c r="B16" s="26" t="s">
        <v>16</v>
      </c>
      <c r="C16" s="66">
        <v>17310</v>
      </c>
      <c r="D16" s="207">
        <f>79+687-394</f>
        <v>372</v>
      </c>
      <c r="E16" s="66">
        <f t="shared" si="0"/>
        <v>17682</v>
      </c>
    </row>
    <row r="17" spans="1:5" x14ac:dyDescent="0.25">
      <c r="A17" s="20">
        <v>520700</v>
      </c>
      <c r="B17" s="26" t="s">
        <v>18</v>
      </c>
      <c r="C17" s="66">
        <v>25769</v>
      </c>
      <c r="D17" s="207"/>
      <c r="E17" s="66">
        <f t="shared" si="0"/>
        <v>25769</v>
      </c>
    </row>
    <row r="18" spans="1:5" x14ac:dyDescent="0.25">
      <c r="A18" s="20">
        <v>520600</v>
      </c>
      <c r="B18" s="26" t="s">
        <v>17</v>
      </c>
      <c r="C18" s="66">
        <v>696</v>
      </c>
      <c r="D18" s="207"/>
      <c r="E18" s="66">
        <f t="shared" si="0"/>
        <v>696</v>
      </c>
    </row>
    <row r="19" spans="1:5" x14ac:dyDescent="0.25">
      <c r="A19" s="20">
        <v>520800</v>
      </c>
      <c r="B19" s="26" t="s">
        <v>19</v>
      </c>
      <c r="C19" s="66">
        <v>197</v>
      </c>
      <c r="D19" s="207"/>
      <c r="E19" s="66">
        <f t="shared" si="0"/>
        <v>197</v>
      </c>
    </row>
    <row r="20" spans="1:5" x14ac:dyDescent="0.25">
      <c r="A20" s="20">
        <v>529700</v>
      </c>
      <c r="B20" s="26" t="s">
        <v>196</v>
      </c>
      <c r="C20" s="66">
        <v>6035</v>
      </c>
      <c r="D20" s="207"/>
      <c r="E20" s="66">
        <f t="shared" si="0"/>
        <v>6035</v>
      </c>
    </row>
    <row r="21" spans="1:5" x14ac:dyDescent="0.25">
      <c r="A21" s="6"/>
      <c r="B21" s="6" t="s">
        <v>111</v>
      </c>
      <c r="C21" s="65">
        <f>SUM(C14:C20)</f>
        <v>83208</v>
      </c>
      <c r="D21" s="208">
        <f>SUM(D14:D20)</f>
        <v>529</v>
      </c>
      <c r="E21" s="65">
        <f>SUM(E14:E20)</f>
        <v>83737</v>
      </c>
    </row>
    <row r="22" spans="1:5" x14ac:dyDescent="0.25">
      <c r="A22" s="20"/>
      <c r="B22" s="26"/>
      <c r="C22" s="66"/>
      <c r="D22" s="207"/>
      <c r="E22" s="66"/>
    </row>
    <row r="23" spans="1:5" x14ac:dyDescent="0.25">
      <c r="A23" s="20">
        <v>539900</v>
      </c>
      <c r="B23" s="26" t="s">
        <v>22</v>
      </c>
      <c r="C23" s="66">
        <v>4800</v>
      </c>
      <c r="D23" s="207"/>
      <c r="E23" s="66">
        <f>SUM(C23:D23)</f>
        <v>4800</v>
      </c>
    </row>
    <row r="24" spans="1:5" x14ac:dyDescent="0.25">
      <c r="A24" s="20">
        <v>533600</v>
      </c>
      <c r="B24" s="26" t="s">
        <v>299</v>
      </c>
      <c r="C24" s="66">
        <v>5575</v>
      </c>
      <c r="D24" s="207"/>
      <c r="E24" s="66">
        <f>SUM(C24:D24)</f>
        <v>5575</v>
      </c>
    </row>
    <row r="25" spans="1:5" x14ac:dyDescent="0.25">
      <c r="A25" s="20">
        <v>530700</v>
      </c>
      <c r="B25" s="26" t="s">
        <v>1</v>
      </c>
      <c r="C25" s="66">
        <v>10200</v>
      </c>
      <c r="D25" s="207"/>
      <c r="E25" s="66">
        <f>SUM(C25:D25)</f>
        <v>10200</v>
      </c>
    </row>
    <row r="26" spans="1:5" x14ac:dyDescent="0.25">
      <c r="A26" s="20">
        <v>534800</v>
      </c>
      <c r="B26" s="26" t="s">
        <v>335</v>
      </c>
      <c r="C26" s="66">
        <v>50</v>
      </c>
      <c r="D26" s="207"/>
      <c r="E26" s="66">
        <f>SUM(C26:D26)</f>
        <v>50</v>
      </c>
    </row>
    <row r="27" spans="1:5" x14ac:dyDescent="0.25">
      <c r="A27" s="20">
        <v>535400</v>
      </c>
      <c r="B27" s="26" t="s">
        <v>124</v>
      </c>
      <c r="C27" s="66">
        <v>1000</v>
      </c>
      <c r="D27" s="207"/>
      <c r="E27" s="66">
        <f>SUM(C27:D27)</f>
        <v>1000</v>
      </c>
    </row>
    <row r="28" spans="1:5" x14ac:dyDescent="0.25">
      <c r="A28" s="6"/>
      <c r="B28" s="6" t="s">
        <v>4</v>
      </c>
      <c r="C28" s="65">
        <f>SUM(C23:C27)</f>
        <v>21625</v>
      </c>
      <c r="D28" s="208">
        <f>SUM(D23:D27)</f>
        <v>0</v>
      </c>
      <c r="E28" s="65">
        <f>SUM(E23:E27)</f>
        <v>21625</v>
      </c>
    </row>
    <row r="29" spans="1:5" x14ac:dyDescent="0.25">
      <c r="A29" s="20"/>
      <c r="B29" s="26"/>
      <c r="C29" s="66"/>
      <c r="D29" s="207"/>
      <c r="E29" s="66"/>
    </row>
    <row r="30" spans="1:5" x14ac:dyDescent="0.25">
      <c r="A30" s="20">
        <v>543500</v>
      </c>
      <c r="B30" s="26" t="s">
        <v>6</v>
      </c>
      <c r="C30" s="66">
        <v>1900</v>
      </c>
      <c r="D30" s="207"/>
      <c r="E30" s="66">
        <f>SUM(C30:D30)</f>
        <v>1900</v>
      </c>
    </row>
    <row r="31" spans="1:5" x14ac:dyDescent="0.25">
      <c r="A31" s="20">
        <v>541860</v>
      </c>
      <c r="B31" s="26" t="s">
        <v>338</v>
      </c>
      <c r="C31" s="66">
        <v>800</v>
      </c>
      <c r="D31" s="207"/>
      <c r="E31" s="66">
        <f>SUM(C31:D31)</f>
        <v>800</v>
      </c>
    </row>
    <row r="32" spans="1:5" x14ac:dyDescent="0.25">
      <c r="A32" s="6"/>
      <c r="B32" s="6" t="s">
        <v>9</v>
      </c>
      <c r="C32" s="65">
        <f>SUM(C30:C31)</f>
        <v>2700</v>
      </c>
      <c r="D32" s="208">
        <f>SUM(D30:D31)</f>
        <v>0</v>
      </c>
      <c r="E32" s="65">
        <f>SUM(E30:E31)</f>
        <v>2700</v>
      </c>
    </row>
    <row r="33" spans="1:5" x14ac:dyDescent="0.25">
      <c r="A33" s="20"/>
      <c r="B33" s="26"/>
      <c r="C33" s="66"/>
      <c r="D33" s="207"/>
      <c r="E33" s="66"/>
    </row>
    <row r="34" spans="1:5" x14ac:dyDescent="0.25">
      <c r="A34" s="9"/>
      <c r="B34" s="9"/>
      <c r="C34" s="64"/>
      <c r="D34" s="207"/>
      <c r="E34" s="64"/>
    </row>
    <row r="35" spans="1:5" s="23" customFormat="1" ht="15.6" x14ac:dyDescent="0.3">
      <c r="A35" s="12" t="s">
        <v>125</v>
      </c>
      <c r="B35" s="12"/>
      <c r="C35" s="70">
        <f>+C32+C28+C21+C12</f>
        <v>468927</v>
      </c>
      <c r="D35" s="209">
        <f>+D32+D28+D21+D12</f>
        <v>1506</v>
      </c>
      <c r="E35" s="70">
        <f>+E32+E28+E21+E12</f>
        <v>470433</v>
      </c>
    </row>
    <row r="36" spans="1:5" x14ac:dyDescent="0.25">
      <c r="A36" s="92"/>
    </row>
    <row r="37" spans="1:5" x14ac:dyDescent="0.25">
      <c r="A37" s="92"/>
    </row>
  </sheetData>
  <mergeCells count="1">
    <mergeCell ref="A4:B4"/>
  </mergeCells>
  <phoneticPr fontId="0" type="noConversion"/>
  <printOptions horizontalCentered="1"/>
  <pageMargins left="0.75" right="0.75" top="1" bottom="1" header="0.5" footer="0.5"/>
  <pageSetup scale="77" firstPageNumber="36" orientation="portrait" useFirstPageNumber="1" r:id="rId1"/>
  <headerFooter alignWithMargins="0">
    <oddFooter>&amp;C&amp;"Arial,Bold"&amp;P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E16"/>
  <sheetViews>
    <sheetView workbookViewId="0">
      <selection activeCell="A3" sqref="A3"/>
    </sheetView>
  </sheetViews>
  <sheetFormatPr defaultRowHeight="13.2" x14ac:dyDescent="0.25"/>
  <cols>
    <col min="1" max="1" width="11.6640625" customWidth="1"/>
    <col min="2" max="2" width="52.6640625" customWidth="1"/>
    <col min="3" max="3" width="17.6640625" customWidth="1"/>
    <col min="4" max="4" width="17.6640625" style="215" customWidth="1"/>
    <col min="5" max="6" width="17.6640625" customWidth="1"/>
  </cols>
  <sheetData>
    <row r="1" spans="1:5" ht="15.6" x14ac:dyDescent="0.3">
      <c r="A1" s="5" t="s">
        <v>261</v>
      </c>
    </row>
    <row r="2" spans="1:5" ht="15.6" x14ac:dyDescent="0.3">
      <c r="A2" s="5" t="s">
        <v>510</v>
      </c>
    </row>
    <row r="3" spans="1:5" ht="13.8" thickBot="1" x14ac:dyDescent="0.3"/>
    <row r="4" spans="1:5" ht="15.6" x14ac:dyDescent="0.3">
      <c r="A4" s="413" t="s">
        <v>121</v>
      </c>
      <c r="B4" s="414"/>
      <c r="C4" s="94" t="s">
        <v>483</v>
      </c>
      <c r="D4" s="356"/>
      <c r="E4" s="362" t="s">
        <v>511</v>
      </c>
    </row>
    <row r="5" spans="1:5" ht="15.6" x14ac:dyDescent="0.3">
      <c r="A5" s="60"/>
      <c r="B5" s="61"/>
      <c r="C5" s="93" t="s">
        <v>345</v>
      </c>
      <c r="D5" s="358"/>
      <c r="E5" s="363" t="s">
        <v>342</v>
      </c>
    </row>
    <row r="6" spans="1:5" ht="16.2" thickBot="1" x14ac:dyDescent="0.35">
      <c r="A6" s="13"/>
      <c r="B6" s="14"/>
      <c r="C6" s="14" t="s">
        <v>290</v>
      </c>
      <c r="D6" s="360" t="s">
        <v>493</v>
      </c>
      <c r="E6" s="364" t="s">
        <v>290</v>
      </c>
    </row>
    <row r="7" spans="1:5" ht="13.8" x14ac:dyDescent="0.25">
      <c r="A7" s="62">
        <v>71127</v>
      </c>
      <c r="B7" s="78" t="s">
        <v>32</v>
      </c>
      <c r="C7" s="25"/>
      <c r="D7" s="216"/>
      <c r="E7" s="25"/>
    </row>
    <row r="8" spans="1:5" x14ac:dyDescent="0.25">
      <c r="A8" s="57">
        <v>531200</v>
      </c>
      <c r="B8" s="9" t="s">
        <v>59</v>
      </c>
      <c r="C8" s="64">
        <v>78366</v>
      </c>
      <c r="D8" s="207"/>
      <c r="E8" s="64">
        <f>SUM(C8:D8)</f>
        <v>78366</v>
      </c>
    </row>
    <row r="9" spans="1:5" s="1" customFormat="1" x14ac:dyDescent="0.25">
      <c r="A9" s="6"/>
      <c r="B9" s="6" t="s">
        <v>4</v>
      </c>
      <c r="C9" s="65">
        <f>SUM(C8:C8)</f>
        <v>78366</v>
      </c>
      <c r="D9" s="208">
        <f>SUM(D8:D8)</f>
        <v>0</v>
      </c>
      <c r="E9" s="65">
        <f>SUM(E8:E8)</f>
        <v>78366</v>
      </c>
    </row>
    <row r="10" spans="1:5" x14ac:dyDescent="0.25">
      <c r="A10" s="57"/>
      <c r="B10" s="9"/>
      <c r="C10" s="64"/>
      <c r="D10" s="207"/>
      <c r="E10" s="64"/>
    </row>
    <row r="11" spans="1:5" x14ac:dyDescent="0.25">
      <c r="A11" s="57">
        <v>541650</v>
      </c>
      <c r="B11" s="9" t="s">
        <v>63</v>
      </c>
      <c r="C11" s="64">
        <v>173320</v>
      </c>
      <c r="D11" s="207"/>
      <c r="E11" s="64">
        <f>SUM(C11:D11)</f>
        <v>173320</v>
      </c>
    </row>
    <row r="12" spans="1:5" x14ac:dyDescent="0.25">
      <c r="A12" s="9"/>
      <c r="B12" s="6" t="s">
        <v>9</v>
      </c>
      <c r="C12" s="65">
        <f>SUM(C11)</f>
        <v>173320</v>
      </c>
      <c r="D12" s="208">
        <f>SUM(D11)</f>
        <v>0</v>
      </c>
      <c r="E12" s="65">
        <f>SUM(E11)</f>
        <v>173320</v>
      </c>
    </row>
    <row r="13" spans="1:5" x14ac:dyDescent="0.25">
      <c r="A13" s="9"/>
      <c r="B13" s="9"/>
      <c r="C13" s="64"/>
      <c r="D13" s="207"/>
      <c r="E13" s="64"/>
    </row>
    <row r="14" spans="1:5" x14ac:dyDescent="0.25">
      <c r="A14" s="9"/>
      <c r="B14" s="9"/>
      <c r="C14" s="64"/>
      <c r="D14" s="207"/>
      <c r="E14" s="64"/>
    </row>
    <row r="15" spans="1:5" s="23" customFormat="1" ht="15.6" x14ac:dyDescent="0.3">
      <c r="A15" s="12" t="s">
        <v>122</v>
      </c>
      <c r="B15" s="12"/>
      <c r="C15" s="70">
        <f>+C12+C9</f>
        <v>251686</v>
      </c>
      <c r="D15" s="209">
        <f>+D12+D9</f>
        <v>0</v>
      </c>
      <c r="E15" s="70">
        <f>+E12+E9</f>
        <v>251686</v>
      </c>
    </row>
    <row r="16" spans="1:5" x14ac:dyDescent="0.25">
      <c r="A16" s="92"/>
    </row>
  </sheetData>
  <mergeCells count="1">
    <mergeCell ref="A4:B4"/>
  </mergeCells>
  <phoneticPr fontId="0" type="noConversion"/>
  <printOptions horizontalCentered="1"/>
  <pageMargins left="0.75" right="0.75" top="1" bottom="1" header="0.5" footer="0.5"/>
  <pageSetup scale="77" firstPageNumber="37" orientation="portrait" useFirstPageNumber="1" r:id="rId1"/>
  <headerFooter alignWithMargins="0">
    <oddFooter>&amp;C&amp;"Arial,Bold"&amp;P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E18"/>
  <sheetViews>
    <sheetView workbookViewId="0">
      <selection activeCell="A3" sqref="A3"/>
    </sheetView>
  </sheetViews>
  <sheetFormatPr defaultRowHeight="13.2" x14ac:dyDescent="0.25"/>
  <cols>
    <col min="1" max="1" width="11.6640625" customWidth="1"/>
    <col min="2" max="2" width="52.6640625" customWidth="1"/>
    <col min="3" max="3" width="17.6640625" customWidth="1"/>
    <col min="4" max="4" width="17.6640625" style="210" customWidth="1"/>
    <col min="5" max="6" width="17.6640625" customWidth="1"/>
  </cols>
  <sheetData>
    <row r="1" spans="1:5" ht="15.6" x14ac:dyDescent="0.3">
      <c r="A1" s="5" t="s">
        <v>261</v>
      </c>
    </row>
    <row r="2" spans="1:5" ht="15.6" x14ac:dyDescent="0.3">
      <c r="A2" s="5" t="s">
        <v>510</v>
      </c>
    </row>
    <row r="3" spans="1:5" ht="13.8" thickBot="1" x14ac:dyDescent="0.3"/>
    <row r="4" spans="1:5" ht="15.6" x14ac:dyDescent="0.3">
      <c r="A4" s="413" t="s">
        <v>486</v>
      </c>
      <c r="B4" s="414"/>
      <c r="C4" s="94" t="s">
        <v>483</v>
      </c>
      <c r="D4" s="356"/>
      <c r="E4" s="362" t="s">
        <v>511</v>
      </c>
    </row>
    <row r="5" spans="1:5" ht="15.6" x14ac:dyDescent="0.3">
      <c r="A5" s="60"/>
      <c r="B5" s="61"/>
      <c r="C5" s="93" t="s">
        <v>345</v>
      </c>
      <c r="D5" s="358"/>
      <c r="E5" s="363" t="s">
        <v>342</v>
      </c>
    </row>
    <row r="6" spans="1:5" ht="16.2" thickBot="1" x14ac:dyDescent="0.35">
      <c r="A6" s="13"/>
      <c r="B6" s="14"/>
      <c r="C6" s="14" t="s">
        <v>290</v>
      </c>
      <c r="D6" s="360" t="s">
        <v>493</v>
      </c>
      <c r="E6" s="364" t="s">
        <v>290</v>
      </c>
    </row>
    <row r="7" spans="1:5" ht="13.8" x14ac:dyDescent="0.25">
      <c r="A7" s="62">
        <v>71107</v>
      </c>
      <c r="B7" s="78" t="s">
        <v>32</v>
      </c>
      <c r="C7" s="25"/>
      <c r="D7" s="213"/>
      <c r="E7" s="25"/>
    </row>
    <row r="8" spans="1:5" x14ac:dyDescent="0.25">
      <c r="A8" s="20">
        <v>543500</v>
      </c>
      <c r="B8" s="9" t="s">
        <v>6</v>
      </c>
      <c r="C8" s="104">
        <v>8000</v>
      </c>
      <c r="D8" s="104"/>
      <c r="E8" s="104">
        <f>SUM(C8:D8)</f>
        <v>8000</v>
      </c>
    </row>
    <row r="9" spans="1:5" s="59" customFormat="1" x14ac:dyDescent="0.25">
      <c r="A9" s="20">
        <v>542900</v>
      </c>
      <c r="B9" s="26" t="s">
        <v>28</v>
      </c>
      <c r="C9" s="104">
        <v>303304</v>
      </c>
      <c r="D9" s="104"/>
      <c r="E9" s="104">
        <f>SUM(C9:D9)</f>
        <v>303304</v>
      </c>
    </row>
    <row r="10" spans="1:5" s="59" customFormat="1" x14ac:dyDescent="0.25">
      <c r="A10" s="6"/>
      <c r="B10" s="6" t="s">
        <v>9</v>
      </c>
      <c r="C10" s="65">
        <f>SUM(C8:C9)</f>
        <v>311304</v>
      </c>
      <c r="D10" s="65">
        <f>SUM(D8:D9)</f>
        <v>0</v>
      </c>
      <c r="E10" s="65">
        <f>SUM(E8:E9)</f>
        <v>311304</v>
      </c>
    </row>
    <row r="11" spans="1:5" s="59" customFormat="1" x14ac:dyDescent="0.25">
      <c r="A11" s="20"/>
      <c r="B11" s="26"/>
      <c r="C11" s="66"/>
      <c r="D11" s="66"/>
      <c r="E11" s="66"/>
    </row>
    <row r="12" spans="1:5" s="59" customFormat="1" x14ac:dyDescent="0.25">
      <c r="A12" s="20">
        <v>552400</v>
      </c>
      <c r="B12" s="26" t="s">
        <v>11</v>
      </c>
      <c r="C12" s="104">
        <v>20000</v>
      </c>
      <c r="D12" s="104"/>
      <c r="E12" s="104">
        <f>SUM(C12:D12)</f>
        <v>20000</v>
      </c>
    </row>
    <row r="13" spans="1:5" s="59" customFormat="1" x14ac:dyDescent="0.25">
      <c r="A13" s="20"/>
      <c r="B13" s="6" t="s">
        <v>12</v>
      </c>
      <c r="C13" s="65">
        <f>SUM(C12)</f>
        <v>20000</v>
      </c>
      <c r="D13" s="65">
        <f>SUM(D12)</f>
        <v>0</v>
      </c>
      <c r="E13" s="65">
        <f>SUM(E12)</f>
        <v>20000</v>
      </c>
    </row>
    <row r="14" spans="1:5" s="59" customFormat="1" ht="11.4" x14ac:dyDescent="0.2">
      <c r="A14" s="27"/>
      <c r="B14" s="28"/>
      <c r="C14" s="83"/>
      <c r="D14" s="83"/>
      <c r="E14" s="83"/>
    </row>
    <row r="15" spans="1:5" s="59" customFormat="1" ht="11.4" x14ac:dyDescent="0.2">
      <c r="A15" s="27"/>
      <c r="B15" s="28"/>
      <c r="C15" s="83"/>
      <c r="D15" s="83"/>
      <c r="E15" s="83"/>
    </row>
    <row r="16" spans="1:5" ht="15.6" x14ac:dyDescent="0.3">
      <c r="A16" s="12" t="s">
        <v>487</v>
      </c>
      <c r="B16" s="12"/>
      <c r="C16" s="70">
        <f>SUM(+C10+C13)</f>
        <v>331304</v>
      </c>
      <c r="D16" s="70">
        <f>SUM(+D10+D13)</f>
        <v>0</v>
      </c>
      <c r="E16" s="70">
        <f>SUM(+E10+E13)</f>
        <v>331304</v>
      </c>
    </row>
    <row r="17" spans="4:4" x14ac:dyDescent="0.25">
      <c r="D17"/>
    </row>
    <row r="18" spans="4:4" x14ac:dyDescent="0.25">
      <c r="D18" s="304"/>
    </row>
  </sheetData>
  <mergeCells count="1">
    <mergeCell ref="A4:B4"/>
  </mergeCells>
  <phoneticPr fontId="18" type="noConversion"/>
  <pageMargins left="0.7" right="0.7" top="0.75" bottom="0.75" header="0.3" footer="0.3"/>
  <pageSetup scale="78" firstPageNumber="38" orientation="portrait" useFirstPageNumber="1" r:id="rId1"/>
  <headerFooter>
    <oddFooter>&amp;C&amp;"Arial,Bold"&amp;P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27"/>
  <sheetViews>
    <sheetView workbookViewId="0">
      <selection activeCell="B37" sqref="B37"/>
    </sheetView>
  </sheetViews>
  <sheetFormatPr defaultRowHeight="13.2" x14ac:dyDescent="0.25"/>
  <cols>
    <col min="1" max="1" width="62" customWidth="1"/>
    <col min="2" max="2" width="19.44140625" customWidth="1"/>
    <col min="3" max="5" width="15.6640625" customWidth="1"/>
    <col min="6" max="6" width="62" customWidth="1"/>
    <col min="7" max="7" width="18.109375" customWidth="1"/>
  </cols>
  <sheetData>
    <row r="2" spans="1:6" ht="13.8" thickBot="1" x14ac:dyDescent="0.3"/>
    <row r="3" spans="1:6" ht="17.399999999999999" x14ac:dyDescent="0.3">
      <c r="A3" s="407" t="s">
        <v>513</v>
      </c>
      <c r="B3" s="408"/>
      <c r="C3" s="408"/>
      <c r="D3" s="408"/>
      <c r="E3" s="408"/>
      <c r="F3" s="409"/>
    </row>
    <row r="4" spans="1:6" ht="18" thickBot="1" x14ac:dyDescent="0.35">
      <c r="A4" s="410" t="s">
        <v>334</v>
      </c>
      <c r="B4" s="411"/>
      <c r="C4" s="411"/>
      <c r="D4" s="411"/>
      <c r="E4" s="411"/>
      <c r="F4" s="412"/>
    </row>
    <row r="5" spans="1:6" ht="17.399999999999999" x14ac:dyDescent="0.3">
      <c r="A5" s="148"/>
      <c r="B5" s="148"/>
      <c r="C5" s="148"/>
      <c r="D5" s="232"/>
      <c r="E5" s="186"/>
      <c r="F5" s="148"/>
    </row>
    <row r="6" spans="1:6" ht="18" thickBot="1" x14ac:dyDescent="0.35">
      <c r="A6" s="148"/>
      <c r="B6" s="148"/>
      <c r="C6" s="148"/>
      <c r="D6" s="232"/>
      <c r="E6" s="186"/>
      <c r="F6" s="148"/>
    </row>
    <row r="7" spans="1:6" ht="18" thickBot="1" x14ac:dyDescent="0.35">
      <c r="A7" s="148"/>
      <c r="B7" s="404" t="s">
        <v>475</v>
      </c>
      <c r="C7" s="405"/>
      <c r="D7" s="405"/>
      <c r="E7" s="406"/>
      <c r="F7" s="192"/>
    </row>
    <row r="8" spans="1:6" ht="13.8" x14ac:dyDescent="0.25">
      <c r="B8" s="166"/>
      <c r="C8" s="167"/>
      <c r="D8" s="233"/>
      <c r="E8" s="168"/>
      <c r="F8" s="149"/>
    </row>
    <row r="9" spans="1:6" ht="15.6" x14ac:dyDescent="0.3">
      <c r="B9" s="152"/>
      <c r="C9" s="153" t="s">
        <v>483</v>
      </c>
      <c r="D9" s="234"/>
      <c r="E9" s="154" t="s">
        <v>511</v>
      </c>
      <c r="F9" s="190"/>
    </row>
    <row r="10" spans="1:6" ht="15.6" x14ac:dyDescent="0.3">
      <c r="B10" s="152"/>
      <c r="C10" s="153" t="s">
        <v>328</v>
      </c>
      <c r="D10" s="235"/>
      <c r="E10" s="154" t="s">
        <v>318</v>
      </c>
      <c r="F10" s="190"/>
    </row>
    <row r="11" spans="1:6" ht="16.2" thickBot="1" x14ac:dyDescent="0.35">
      <c r="B11" s="152"/>
      <c r="C11" s="193" t="s">
        <v>290</v>
      </c>
      <c r="D11" s="310" t="s">
        <v>317</v>
      </c>
      <c r="E11" s="194" t="s">
        <v>290</v>
      </c>
      <c r="F11" s="190"/>
    </row>
    <row r="12" spans="1:6" ht="15.6" x14ac:dyDescent="0.3">
      <c r="B12" s="152"/>
      <c r="C12" s="149"/>
      <c r="D12" s="236"/>
      <c r="E12" s="150"/>
      <c r="F12" s="190"/>
    </row>
    <row r="13" spans="1:6" ht="13.8" x14ac:dyDescent="0.25">
      <c r="B13" s="155" t="s">
        <v>468</v>
      </c>
      <c r="C13" s="335">
        <v>276366526</v>
      </c>
      <c r="D13" s="335">
        <f>+E13-C13</f>
        <v>2565527</v>
      </c>
      <c r="E13" s="334">
        <f>+Regular!E16+Support!E18+Reading!E9+Reading!E33+Science!E22+SocStudies!E20+Alt!E13+Alt!E38+SpEdInst!E18+SpEdSup!E18+CTI!E13+CTS!E12+Adult!E10+Summer!E10+Attendance!E11+HlthSvs!E9+OStuSup!E14+Transfer!E10+Prin!E14+Board!E10+Super!E11+Fiscal!E13+WH!E9+Security!E11+Oper!E12+Maint!E10+Facilities!E9+'HR Operations'!E11+Central!E9+Tech!E11+Public!E11+Accountability!E11+Trsp!E12+Trsp!E55+'HR Benefits'!E11+FamilyCom!E10+InstrTech!E10+Devel!E10</f>
        <v>278932053</v>
      </c>
      <c r="F13" s="190"/>
    </row>
    <row r="14" spans="1:6" x14ac:dyDescent="0.25">
      <c r="B14" s="382"/>
      <c r="C14" s="327">
        <f>+C13/C26</f>
        <v>0.6582239756875391</v>
      </c>
      <c r="D14" s="327">
        <f>+D13/D26</f>
        <v>0.51126484655241133</v>
      </c>
      <c r="E14" s="328">
        <f>+E13/E26</f>
        <v>0.65648835096555536</v>
      </c>
      <c r="F14" s="190"/>
    </row>
    <row r="15" spans="1:6" ht="13.8" x14ac:dyDescent="0.25">
      <c r="B15" s="155" t="s">
        <v>469</v>
      </c>
      <c r="C15" s="380">
        <v>73775004</v>
      </c>
      <c r="D15" s="380">
        <f>+E15-C15</f>
        <v>1263141</v>
      </c>
      <c r="E15" s="381">
        <f>+Regular!E25+Support!E28+Reading!E12+Reading!E36+Science!E25+SocStudies!E23+Alt!E21+Alt!E46+SpEdInst!E27+SpEdSup!E28+CTI!E21+CTS!E21+Devel!E14+Adult!E18+Summer!E15+Attendance!E21+HlthSvs!E18+OStuSup!E24+Transfer!E19+Prin!E23+Board!E19+Super!E22+Fiscal!E22+WH!E16+Security!E18+Oper!E19+Maint!E18+Facilities!E18+'HR Operations'!E21+Central!E14+Tech!E20+Public!E20+Accountability!E20+Trsp!E21+Trsp!E61+'HR Benefits'!E20+FamilyCom!E18+InstrTech!E18</f>
        <v>75038145</v>
      </c>
      <c r="F15" s="190"/>
    </row>
    <row r="16" spans="1:6" x14ac:dyDescent="0.25">
      <c r="B16" s="382"/>
      <c r="C16" s="327">
        <f>+C15/C26</f>
        <v>0.17571041305937357</v>
      </c>
      <c r="D16" s="327">
        <f>+D15/D26</f>
        <v>0.25172200079713031</v>
      </c>
      <c r="E16" s="328">
        <f>+E15/E26</f>
        <v>0.17660812925850525</v>
      </c>
      <c r="F16" s="190"/>
    </row>
    <row r="17" spans="1:6" ht="13.8" x14ac:dyDescent="0.25">
      <c r="B17" s="155" t="s">
        <v>467</v>
      </c>
      <c r="C17" s="380">
        <v>24102677</v>
      </c>
      <c r="D17" s="380">
        <f>+E17-C17</f>
        <v>516282</v>
      </c>
      <c r="E17" s="381">
        <f>+Support!E31+Art!E20+Art!E9+Elem!E20+Middle!E17+Sec!E9+Sec!E24+World!E15+LArts!E20+Choral!E10+Choral!E22+Reading!E39+Science!E9+Science!E28+GAT!E9+GAT!E22+InstMusic!E10+InstMusic!E20+Driver!E10+Driver!E21+Screening!E9+Screening!E24+'504'!E10+'504'!E23+Grad!E10+'High Needs'!E11+SpEdInst!E32+SpEdSup!E37+CTI!E24+CTS!E28+TI!E9+General!E9+Athletics!E10+Wellness!E9+Instruction!E10+Libraries!E9+Adult!E22+Attendance!E24+HlthSvs!E25+Curriculum!E10+Transfer!E23+Prin!E29+Board!E27+Super!E29+Fiscal!E30+WH!E20+Security!E23+Oper!E29+Maint!E27+Facilities!E23+'HR Operations'!E31+Tech!E27+Publications!E10+Public!E26+Accountability!E27+Trsp!E32+Trsp!E46+Trsp!E50+Trsp!E65+Grants!E9+Alt!E49+'HR Benefits'!E28+OStuSup!E27+FamilyCom!E21+InstrTech!E23+Innovation!E12</f>
        <v>24618959</v>
      </c>
      <c r="F17" s="190"/>
    </row>
    <row r="18" spans="1:6" x14ac:dyDescent="0.25">
      <c r="B18" s="382"/>
      <c r="C18" s="327">
        <f>+C17/C26</f>
        <v>5.7405504600266277E-2</v>
      </c>
      <c r="D18" s="327">
        <f>+D17/D26</f>
        <v>0.10288601036269431</v>
      </c>
      <c r="E18" s="328">
        <f>+E17/E26</f>
        <v>5.794264094990409E-2</v>
      </c>
      <c r="F18" s="190"/>
    </row>
    <row r="19" spans="1:6" ht="13.8" x14ac:dyDescent="0.25">
      <c r="B19" s="155" t="s">
        <v>470</v>
      </c>
      <c r="C19" s="380">
        <v>22172737</v>
      </c>
      <c r="D19" s="380">
        <f>+E19-C19</f>
        <v>62534</v>
      </c>
      <c r="E19" s="381">
        <f>+Regular!E28+Art!E13+Art!E26+Elem!E11+Elem!E27+Middle!E11+Middle!E23+Sec!E14+Sec!E31+Business!E10+World!E9+Health!E10+Kinder!E10+LArts!E13+LArts!E24+Math!E11+Math!E17+Choral!E15+Choral!E26+PE!E9+PE!E16+Reading!E18+Reading!E45+Science!E16+Science!E31+SocStudies!E14+GAT!E13+GAT!E26+InstMusic!E13+InstMusic!E24+Materials!E10+Driver!E15+Driver!E24+Screening!E17+Screening!E29+'504'!E16+'504'!E27+SAS!E9+'High Needs'!E15+Alt!E25+SpEdInst!E37+SpEdSup!E46+CTI!E30+CTS!E32+TI!E12+Literacy!E10+General!E13+Athletics!E14+Wellness!E13+Instruction!E14+Libraries!E15+Devel!E17+Adult!E26+Attendance!E28+HlthSvs!E32+Pupil!E11+Curriculum!E15+Transfer!E26+Guidance!E10+Board!E31+Super!E34+Fiscal!E34+WH!E25+Security!E30+Oper!E39+Maint!E37+Facilities!E29+'HR Operations'!E36+Tech!E31+Publications!E13+Public!E29+Accountability!E31+Trsp!E39+Trsp!E69+TAP!E9+FamilyCom!E24+Grants!E13+Alt!E52+'HR Benefits'!E32+Magnets!E72-Magnets!E47+Humanities!E11+InstrTech!E26+Innovation!E16</f>
        <v>22235271</v>
      </c>
      <c r="F19" s="190"/>
    </row>
    <row r="20" spans="1:6" x14ac:dyDescent="0.25">
      <c r="B20" s="382"/>
      <c r="C20" s="327">
        <f>+C19/C26</f>
        <v>5.2808953787747075E-2</v>
      </c>
      <c r="D20" s="327">
        <f>+D19/D26</f>
        <v>1.2461937026703866E-2</v>
      </c>
      <c r="E20" s="328">
        <f>+E19/E26</f>
        <v>5.2332445249891148E-2</v>
      </c>
      <c r="F20" s="190"/>
    </row>
    <row r="21" spans="1:6" ht="13.8" x14ac:dyDescent="0.25">
      <c r="B21" s="155" t="s">
        <v>471</v>
      </c>
      <c r="C21" s="380">
        <v>22913400</v>
      </c>
      <c r="D21" s="380">
        <f>+E21-C21</f>
        <v>610516</v>
      </c>
      <c r="E21" s="381">
        <f>+Support!E34+Art!E29+Elem!E30+Middle!E26+Sec!E34+Business!E13+World!E18+LArts!E27+Math!E20+Choral!E29+PE!E19+Reading!E21+Reading!E48+Science!E34+SocStudies!E26+GAT!E16+InstMusic!E27+Screening!E32+'504'!E30+SpEdSup!E50+CTI!E36+Literacy!E13+Athletics!E18+Wellness!E16+Instruction!E17+Devel!E20+Attendance!E31+HlthSvs!E36+Transfer!E29+Guidance!E13+Board!E38+Security!E33+Oper!E49+Facilities!E32+'HR Operations'!E39+Tech!E38+Accountability!E34+Trsp!E42+Other!E20+'High Needs'!E19+Curriculum!E18+Grants!E16+Magnets!E47+Humanities!E14+Innovation!E19+Alt!E55</f>
        <v>23523916</v>
      </c>
      <c r="F21" s="190"/>
    </row>
    <row r="22" spans="1:6" x14ac:dyDescent="0.25">
      <c r="B22" s="382"/>
      <c r="C22" s="327">
        <f>+C21/C26</f>
        <v>5.45729957343635E-2</v>
      </c>
      <c r="D22" s="327">
        <f>+D21/D26</f>
        <v>0.12166520526106019</v>
      </c>
      <c r="E22" s="328">
        <f>+E21/E26</f>
        <v>5.5365371806488817E-2</v>
      </c>
      <c r="F22" s="190"/>
    </row>
    <row r="23" spans="1:6" ht="13.8" x14ac:dyDescent="0.25">
      <c r="B23" s="155" t="s">
        <v>472</v>
      </c>
      <c r="C23" s="380">
        <v>536656</v>
      </c>
      <c r="D23" s="380">
        <f>+E23-C23</f>
        <v>0</v>
      </c>
      <c r="E23" s="381">
        <f>+CTI!E33+General!E17+Oper!E42+Maint!E42+Tech!E34</f>
        <v>536656</v>
      </c>
      <c r="F23" s="190"/>
    </row>
    <row r="24" spans="1:6" ht="15.6" x14ac:dyDescent="0.3">
      <c r="A24" s="89"/>
      <c r="B24" s="329"/>
      <c r="C24" s="327">
        <f>+C23/C26</f>
        <v>1.2781571307104393E-3</v>
      </c>
      <c r="D24" s="380">
        <v>0</v>
      </c>
      <c r="E24" s="328">
        <f>+E23/E26</f>
        <v>1.2630617696553184E-3</v>
      </c>
      <c r="F24" s="190"/>
    </row>
    <row r="25" spans="1:6" ht="15.6" x14ac:dyDescent="0.3">
      <c r="A25" s="89"/>
      <c r="B25" s="155"/>
      <c r="C25" s="311"/>
      <c r="D25" s="313"/>
      <c r="E25" s="312"/>
      <c r="F25" s="190"/>
    </row>
    <row r="26" spans="1:6" ht="15.6" x14ac:dyDescent="0.3">
      <c r="A26" s="89"/>
      <c r="B26" s="155" t="s">
        <v>316</v>
      </c>
      <c r="C26" s="353">
        <f>+C13+C15+C17+C19+C21+C23</f>
        <v>419867000</v>
      </c>
      <c r="D26" s="353">
        <f>+D13+D15+D17+D19+D21+D23</f>
        <v>5018000</v>
      </c>
      <c r="E26" s="334">
        <f>+E13+E15+E17+E19+E21+E23</f>
        <v>424885000</v>
      </c>
      <c r="F26" s="190"/>
    </row>
    <row r="27" spans="1:6" ht="13.8" thickBot="1" x14ac:dyDescent="0.3">
      <c r="B27" s="337"/>
      <c r="C27" s="191"/>
      <c r="D27" s="191"/>
      <c r="E27" s="338"/>
    </row>
  </sheetData>
  <mergeCells count="3">
    <mergeCell ref="B7:E7"/>
    <mergeCell ref="A3:F3"/>
    <mergeCell ref="A4:F4"/>
  </mergeCells>
  <printOptions horizontalCentered="1"/>
  <pageMargins left="0.45" right="0.45" top="0.5" bottom="0.5" header="0.3" footer="0.3"/>
  <pageSetup scale="69" orientation="landscape" r:id="rId1"/>
  <headerFooter>
    <oddFooter>&amp;C3</oddFooter>
  </headerFooter>
  <ignoredErrors>
    <ignoredError sqref="D14:D23" formula="1"/>
  </ignoredErrors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E20"/>
  <sheetViews>
    <sheetView workbookViewId="0">
      <selection activeCell="D9" sqref="D9"/>
    </sheetView>
  </sheetViews>
  <sheetFormatPr defaultRowHeight="13.2" x14ac:dyDescent="0.25"/>
  <cols>
    <col min="1" max="1" width="11.6640625" customWidth="1"/>
    <col min="2" max="2" width="52.6640625" customWidth="1"/>
    <col min="3" max="3" width="17.6640625" customWidth="1"/>
    <col min="4" max="4" width="17.6640625" style="215" customWidth="1"/>
    <col min="5" max="6" width="17.6640625" customWidth="1"/>
  </cols>
  <sheetData>
    <row r="1" spans="1:5" ht="15.6" x14ac:dyDescent="0.3">
      <c r="A1" s="5" t="s">
        <v>261</v>
      </c>
    </row>
    <row r="2" spans="1:5" ht="15.6" x14ac:dyDescent="0.3">
      <c r="A2" s="5" t="s">
        <v>510</v>
      </c>
    </row>
    <row r="3" spans="1:5" ht="13.8" thickBot="1" x14ac:dyDescent="0.3"/>
    <row r="4" spans="1:5" ht="15.6" x14ac:dyDescent="0.3">
      <c r="A4" s="413" t="s">
        <v>172</v>
      </c>
      <c r="B4" s="414"/>
      <c r="C4" s="94" t="s">
        <v>483</v>
      </c>
      <c r="D4" s="356"/>
      <c r="E4" s="362" t="s">
        <v>511</v>
      </c>
    </row>
    <row r="5" spans="1:5" ht="15.6" x14ac:dyDescent="0.3">
      <c r="A5" s="60"/>
      <c r="B5" s="61"/>
      <c r="C5" s="93" t="s">
        <v>345</v>
      </c>
      <c r="D5" s="358"/>
      <c r="E5" s="363" t="s">
        <v>342</v>
      </c>
    </row>
    <row r="6" spans="1:5" ht="16.2" thickBot="1" x14ac:dyDescent="0.35">
      <c r="A6" s="13"/>
      <c r="B6" s="14"/>
      <c r="C6" s="14" t="s">
        <v>290</v>
      </c>
      <c r="D6" s="360" t="s">
        <v>493</v>
      </c>
      <c r="E6" s="364" t="s">
        <v>290</v>
      </c>
    </row>
    <row r="7" spans="1:5" ht="13.8" x14ac:dyDescent="0.25">
      <c r="A7" s="62">
        <v>71121</v>
      </c>
      <c r="B7" s="78" t="s">
        <v>37</v>
      </c>
      <c r="C7" s="25"/>
      <c r="D7" s="216"/>
      <c r="E7" s="25"/>
    </row>
    <row r="8" spans="1:5" x14ac:dyDescent="0.25">
      <c r="A8" s="71">
        <v>533600</v>
      </c>
      <c r="B8" s="42" t="s">
        <v>135</v>
      </c>
      <c r="C8" s="64">
        <v>15000</v>
      </c>
      <c r="D8" s="207">
        <v>-11000</v>
      </c>
      <c r="E8" s="64">
        <f>SUM(C8:D8)</f>
        <v>4000</v>
      </c>
    </row>
    <row r="9" spans="1:5" x14ac:dyDescent="0.25">
      <c r="A9" s="43"/>
      <c r="B9" s="43" t="s">
        <v>4</v>
      </c>
      <c r="C9" s="65">
        <f>SUM(C8:C8)</f>
        <v>15000</v>
      </c>
      <c r="D9" s="208">
        <f>SUM(D8:D8)</f>
        <v>-11000</v>
      </c>
      <c r="E9" s="65">
        <f>SUM(E8:E8)</f>
        <v>4000</v>
      </c>
    </row>
    <row r="10" spans="1:5" x14ac:dyDescent="0.25">
      <c r="A10" s="72"/>
      <c r="B10" s="44"/>
      <c r="C10" s="64"/>
      <c r="D10" s="207"/>
      <c r="E10" s="64"/>
    </row>
    <row r="11" spans="1:5" x14ac:dyDescent="0.25">
      <c r="A11" s="72">
        <v>543500</v>
      </c>
      <c r="B11" s="44" t="s">
        <v>6</v>
      </c>
      <c r="C11" s="64">
        <v>100000</v>
      </c>
      <c r="D11" s="207">
        <v>-71000</v>
      </c>
      <c r="E11" s="64">
        <f>SUM(C11:D11)</f>
        <v>29000</v>
      </c>
    </row>
    <row r="12" spans="1:5" x14ac:dyDescent="0.25">
      <c r="A12" s="72">
        <v>542960</v>
      </c>
      <c r="B12" s="44" t="s">
        <v>31</v>
      </c>
      <c r="C12" s="64">
        <v>165000</v>
      </c>
      <c r="D12" s="207">
        <v>-118000</v>
      </c>
      <c r="E12" s="64">
        <f>SUM(C12:D12)</f>
        <v>47000</v>
      </c>
    </row>
    <row r="13" spans="1:5" x14ac:dyDescent="0.25">
      <c r="A13" s="43"/>
      <c r="B13" s="43" t="s">
        <v>9</v>
      </c>
      <c r="C13" s="65">
        <f>SUM(C11:C12)</f>
        <v>265000</v>
      </c>
      <c r="D13" s="208">
        <f>SUM(D11:D12)</f>
        <v>-189000</v>
      </c>
      <c r="E13" s="65">
        <f>SUM(E11:E12)</f>
        <v>76000</v>
      </c>
    </row>
    <row r="14" spans="1:5" x14ac:dyDescent="0.25">
      <c r="A14" s="72"/>
      <c r="B14" s="44"/>
      <c r="C14" s="64"/>
      <c r="D14" s="207"/>
      <c r="E14" s="64"/>
    </row>
    <row r="15" spans="1:5" x14ac:dyDescent="0.25">
      <c r="A15" s="72">
        <v>572200</v>
      </c>
      <c r="B15" s="44" t="s">
        <v>173</v>
      </c>
      <c r="C15" s="64">
        <v>10000</v>
      </c>
      <c r="D15" s="207">
        <v>0</v>
      </c>
      <c r="E15" s="64">
        <f>SUM(C15:D15)</f>
        <v>10000</v>
      </c>
    </row>
    <row r="16" spans="1:5" x14ac:dyDescent="0.25">
      <c r="A16" s="72">
        <v>570900</v>
      </c>
      <c r="B16" s="44" t="s">
        <v>174</v>
      </c>
      <c r="C16" s="64">
        <v>10000</v>
      </c>
      <c r="D16" s="207">
        <v>0</v>
      </c>
      <c r="E16" s="64">
        <f>SUM(C16:D16)</f>
        <v>10000</v>
      </c>
    </row>
    <row r="17" spans="1:5" x14ac:dyDescent="0.25">
      <c r="A17" s="40"/>
      <c r="B17" s="43" t="s">
        <v>45</v>
      </c>
      <c r="C17" s="65">
        <f>SUM(C15:C16)</f>
        <v>20000</v>
      </c>
      <c r="D17" s="208">
        <f>SUM(D15:D16)</f>
        <v>0</v>
      </c>
      <c r="E17" s="65">
        <f>SUM(E15:E16)</f>
        <v>20000</v>
      </c>
    </row>
    <row r="18" spans="1:5" x14ac:dyDescent="0.25">
      <c r="A18" s="53"/>
      <c r="B18" s="44"/>
      <c r="C18" s="64"/>
      <c r="D18" s="207"/>
      <c r="E18" s="64"/>
    </row>
    <row r="19" spans="1:5" x14ac:dyDescent="0.25">
      <c r="A19" s="53"/>
      <c r="B19" s="44"/>
      <c r="C19" s="64"/>
      <c r="D19" s="207"/>
      <c r="E19" s="64"/>
    </row>
    <row r="20" spans="1:5" ht="15.6" x14ac:dyDescent="0.3">
      <c r="A20" s="76" t="s">
        <v>175</v>
      </c>
      <c r="B20" s="58"/>
      <c r="C20" s="70">
        <f>SUM(C9+C13+C17)</f>
        <v>300000</v>
      </c>
      <c r="D20" s="209">
        <f>SUM(D9+D13+D17)</f>
        <v>-200000</v>
      </c>
      <c r="E20" s="70">
        <f>SUM(E9+E13+E17)</f>
        <v>100000</v>
      </c>
    </row>
  </sheetData>
  <mergeCells count="1">
    <mergeCell ref="A4:B4"/>
  </mergeCells>
  <phoneticPr fontId="0" type="noConversion"/>
  <printOptions horizontalCentered="1"/>
  <pageMargins left="0.75" right="0.75" top="1" bottom="1" header="0.5" footer="0.5"/>
  <pageSetup scale="77" firstPageNumber="39" orientation="portrait" useFirstPageNumber="1" r:id="rId1"/>
  <headerFooter alignWithMargins="0">
    <oddFooter>&amp;C&amp;"Arial,Bold"&amp;P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E21"/>
  <sheetViews>
    <sheetView workbookViewId="0">
      <selection activeCell="A3" sqref="A3"/>
    </sheetView>
  </sheetViews>
  <sheetFormatPr defaultRowHeight="13.2" x14ac:dyDescent="0.25"/>
  <cols>
    <col min="1" max="1" width="11.6640625" customWidth="1"/>
    <col min="2" max="2" width="52.6640625" customWidth="1"/>
    <col min="3" max="3" width="17.6640625" customWidth="1"/>
    <col min="4" max="4" width="17.6640625" style="215" customWidth="1"/>
    <col min="5" max="6" width="17.6640625" customWidth="1"/>
  </cols>
  <sheetData>
    <row r="1" spans="1:5" ht="15.6" x14ac:dyDescent="0.3">
      <c r="A1" s="5" t="s">
        <v>261</v>
      </c>
    </row>
    <row r="2" spans="1:5" ht="15.6" x14ac:dyDescent="0.3">
      <c r="A2" s="5" t="s">
        <v>510</v>
      </c>
    </row>
    <row r="3" spans="1:5" ht="13.8" thickBot="1" x14ac:dyDescent="0.3"/>
    <row r="4" spans="1:5" ht="15.6" x14ac:dyDescent="0.3">
      <c r="A4" s="413" t="s">
        <v>176</v>
      </c>
      <c r="B4" s="414"/>
      <c r="C4" s="94" t="s">
        <v>483</v>
      </c>
      <c r="D4" s="356"/>
      <c r="E4" s="362" t="s">
        <v>511</v>
      </c>
    </row>
    <row r="5" spans="1:5" ht="15.6" x14ac:dyDescent="0.3">
      <c r="A5" s="60"/>
      <c r="B5" s="61"/>
      <c r="C5" s="93" t="s">
        <v>345</v>
      </c>
      <c r="D5" s="358"/>
      <c r="E5" s="363" t="s">
        <v>342</v>
      </c>
    </row>
    <row r="6" spans="1:5" ht="16.2" thickBot="1" x14ac:dyDescent="0.35">
      <c r="A6" s="13"/>
      <c r="B6" s="14"/>
      <c r="C6" s="14" t="s">
        <v>290</v>
      </c>
      <c r="D6" s="360" t="s">
        <v>493</v>
      </c>
      <c r="E6" s="364" t="s">
        <v>290</v>
      </c>
    </row>
    <row r="7" spans="1:5" ht="13.8" x14ac:dyDescent="0.25">
      <c r="A7" s="62">
        <v>71125</v>
      </c>
      <c r="B7" s="78" t="s">
        <v>37</v>
      </c>
      <c r="C7" s="25"/>
      <c r="D7" s="216"/>
      <c r="E7" s="25"/>
    </row>
    <row r="8" spans="1:5" x14ac:dyDescent="0.25">
      <c r="A8" s="202">
        <v>534800</v>
      </c>
      <c r="B8" s="115" t="s">
        <v>335</v>
      </c>
      <c r="C8" s="64">
        <v>450</v>
      </c>
      <c r="D8" s="207"/>
      <c r="E8" s="64">
        <f>SUM(C8:D8)</f>
        <v>450</v>
      </c>
    </row>
    <row r="9" spans="1:5" x14ac:dyDescent="0.25">
      <c r="A9" s="202">
        <v>533500</v>
      </c>
      <c r="B9" s="49" t="s">
        <v>177</v>
      </c>
      <c r="C9" s="64">
        <v>67703</v>
      </c>
      <c r="D9" s="207"/>
      <c r="E9" s="64">
        <f>SUM(C9:D9)</f>
        <v>67703</v>
      </c>
    </row>
    <row r="10" spans="1:5" x14ac:dyDescent="0.25">
      <c r="A10" s="203"/>
      <c r="B10" s="50" t="s">
        <v>4</v>
      </c>
      <c r="C10" s="65">
        <f>SUM(C8:C9)</f>
        <v>68153</v>
      </c>
      <c r="D10" s="208">
        <f>SUM(D8:D9)</f>
        <v>0</v>
      </c>
      <c r="E10" s="65">
        <f>SUM(E8:E9)</f>
        <v>68153</v>
      </c>
    </row>
    <row r="11" spans="1:5" x14ac:dyDescent="0.25">
      <c r="A11" s="201"/>
      <c r="B11" s="51"/>
      <c r="C11" s="64"/>
      <c r="D11" s="207"/>
      <c r="E11" s="64"/>
    </row>
    <row r="12" spans="1:5" x14ac:dyDescent="0.25">
      <c r="A12" s="201">
        <v>543500</v>
      </c>
      <c r="B12" s="51" t="s">
        <v>6</v>
      </c>
      <c r="C12" s="64">
        <v>30717</v>
      </c>
      <c r="D12" s="207"/>
      <c r="E12" s="64">
        <f>SUM(C12:D12)</f>
        <v>30717</v>
      </c>
    </row>
    <row r="13" spans="1:5" x14ac:dyDescent="0.25">
      <c r="A13" s="201">
        <v>542960</v>
      </c>
      <c r="B13" s="51" t="s">
        <v>31</v>
      </c>
      <c r="C13" s="64">
        <v>16000</v>
      </c>
      <c r="D13" s="207"/>
      <c r="E13" s="64">
        <f>SUM(C13:D13)</f>
        <v>16000</v>
      </c>
    </row>
    <row r="14" spans="1:5" x14ac:dyDescent="0.25">
      <c r="A14" s="203"/>
      <c r="B14" s="50" t="s">
        <v>9</v>
      </c>
      <c r="C14" s="65">
        <f>SUM(C12:C13)</f>
        <v>46717</v>
      </c>
      <c r="D14" s="208">
        <f>SUM(D12:D13)</f>
        <v>0</v>
      </c>
      <c r="E14" s="65">
        <f>SUM(E12:E13)</f>
        <v>46717</v>
      </c>
    </row>
    <row r="15" spans="1:5" x14ac:dyDescent="0.25">
      <c r="A15" s="201"/>
      <c r="B15" s="51"/>
      <c r="C15" s="64"/>
      <c r="D15" s="207"/>
      <c r="E15" s="64"/>
    </row>
    <row r="16" spans="1:5" x14ac:dyDescent="0.25">
      <c r="A16" s="201">
        <v>550200</v>
      </c>
      <c r="B16" s="51" t="s">
        <v>77</v>
      </c>
      <c r="C16" s="64">
        <v>176000</v>
      </c>
      <c r="D16" s="207"/>
      <c r="E16" s="64">
        <f>SUM(C16:D16)</f>
        <v>176000</v>
      </c>
    </row>
    <row r="17" spans="1:5" x14ac:dyDescent="0.25">
      <c r="A17" s="201">
        <v>552400</v>
      </c>
      <c r="B17" s="51" t="s">
        <v>11</v>
      </c>
      <c r="C17" s="64">
        <v>496</v>
      </c>
      <c r="D17" s="207"/>
      <c r="E17" s="64">
        <f>SUM(C17:D17)</f>
        <v>496</v>
      </c>
    </row>
    <row r="18" spans="1:5" x14ac:dyDescent="0.25">
      <c r="A18" s="41"/>
      <c r="B18" s="50" t="s">
        <v>12</v>
      </c>
      <c r="C18" s="65">
        <f>SUM(C16:C17)</f>
        <v>176496</v>
      </c>
      <c r="D18" s="208">
        <f>SUM(D16:D17)</f>
        <v>0</v>
      </c>
      <c r="E18" s="65">
        <f>SUM(E16:E17)</f>
        <v>176496</v>
      </c>
    </row>
    <row r="19" spans="1:5" x14ac:dyDescent="0.25">
      <c r="A19" s="44"/>
      <c r="B19" s="44"/>
      <c r="C19" s="64"/>
      <c r="D19" s="207"/>
      <c r="E19" s="64"/>
    </row>
    <row r="20" spans="1:5" x14ac:dyDescent="0.25">
      <c r="A20" s="44"/>
      <c r="B20" s="44"/>
      <c r="C20" s="64"/>
      <c r="D20" s="207"/>
      <c r="E20" s="64"/>
    </row>
    <row r="21" spans="1:5" s="23" customFormat="1" ht="15.6" x14ac:dyDescent="0.3">
      <c r="A21" s="12" t="s">
        <v>178</v>
      </c>
      <c r="B21" s="12"/>
      <c r="C21" s="70">
        <f>+C18+C14+C10</f>
        <v>291366</v>
      </c>
      <c r="D21" s="209">
        <f>+D18+D14+D10</f>
        <v>0</v>
      </c>
      <c r="E21" s="70">
        <f>+E18+E14+E10</f>
        <v>291366</v>
      </c>
    </row>
  </sheetData>
  <mergeCells count="1">
    <mergeCell ref="A4:B4"/>
  </mergeCells>
  <phoneticPr fontId="0" type="noConversion"/>
  <printOptions horizontalCentered="1"/>
  <pageMargins left="0.75" right="0.75" top="1" bottom="1" header="0.5" footer="0.5"/>
  <pageSetup scale="77" firstPageNumber="40" orientation="portrait" useFirstPageNumber="1" r:id="rId1"/>
  <headerFooter alignWithMargins="0">
    <oddFooter>&amp;C&amp;"Arial,Bold"&amp;P</oddFooter>
  </headerFooter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E19"/>
  <sheetViews>
    <sheetView workbookViewId="0">
      <selection activeCell="A3" sqref="A3"/>
    </sheetView>
  </sheetViews>
  <sheetFormatPr defaultRowHeight="13.2" x14ac:dyDescent="0.25"/>
  <cols>
    <col min="1" max="1" width="11.6640625" customWidth="1"/>
    <col min="2" max="2" width="52.6640625" customWidth="1"/>
    <col min="3" max="3" width="17.6640625" customWidth="1"/>
    <col min="4" max="4" width="17.6640625" style="215" customWidth="1"/>
    <col min="5" max="6" width="17.6640625" customWidth="1"/>
  </cols>
  <sheetData>
    <row r="1" spans="1:5" ht="15.6" x14ac:dyDescent="0.3">
      <c r="A1" s="5" t="s">
        <v>261</v>
      </c>
    </row>
    <row r="2" spans="1:5" ht="15.6" x14ac:dyDescent="0.3">
      <c r="A2" s="5" t="s">
        <v>510</v>
      </c>
    </row>
    <row r="3" spans="1:5" ht="13.8" thickBot="1" x14ac:dyDescent="0.3"/>
    <row r="4" spans="1:5" ht="15.6" x14ac:dyDescent="0.3">
      <c r="A4" s="413" t="s">
        <v>251</v>
      </c>
      <c r="B4" s="414"/>
      <c r="C4" s="94" t="s">
        <v>483</v>
      </c>
      <c r="D4" s="356"/>
      <c r="E4" s="362" t="s">
        <v>511</v>
      </c>
    </row>
    <row r="5" spans="1:5" ht="15.6" x14ac:dyDescent="0.3">
      <c r="A5" s="60"/>
      <c r="B5" s="61"/>
      <c r="C5" s="93" t="s">
        <v>345</v>
      </c>
      <c r="D5" s="358"/>
      <c r="E5" s="363" t="s">
        <v>342</v>
      </c>
    </row>
    <row r="6" spans="1:5" ht="16.2" thickBot="1" x14ac:dyDescent="0.35">
      <c r="A6" s="13"/>
      <c r="B6" s="14"/>
      <c r="C6" s="14" t="s">
        <v>290</v>
      </c>
      <c r="D6" s="360" t="s">
        <v>493</v>
      </c>
      <c r="E6" s="364" t="s">
        <v>290</v>
      </c>
    </row>
    <row r="7" spans="1:5" ht="13.8" x14ac:dyDescent="0.25">
      <c r="A7" s="62">
        <v>72209</v>
      </c>
      <c r="B7" s="78" t="s">
        <v>32</v>
      </c>
      <c r="C7" s="25"/>
      <c r="D7" s="216"/>
      <c r="E7" s="25"/>
    </row>
    <row r="8" spans="1:5" x14ac:dyDescent="0.25">
      <c r="A8" s="57">
        <v>532000</v>
      </c>
      <c r="B8" s="9" t="s">
        <v>94</v>
      </c>
      <c r="C8" s="64">
        <v>550</v>
      </c>
      <c r="D8" s="207"/>
      <c r="E8" s="64">
        <f>SUM(C8:D8)</f>
        <v>550</v>
      </c>
    </row>
    <row r="9" spans="1:5" s="1" customFormat="1" x14ac:dyDescent="0.25">
      <c r="A9" s="6"/>
      <c r="B9" s="6" t="s">
        <v>4</v>
      </c>
      <c r="C9" s="65">
        <f>SUM(C8:C8)</f>
        <v>550</v>
      </c>
      <c r="D9" s="208">
        <f>SUM(D8:D8)</f>
        <v>0</v>
      </c>
      <c r="E9" s="65">
        <f>SUM(E8:E8)</f>
        <v>550</v>
      </c>
    </row>
    <row r="10" spans="1:5" x14ac:dyDescent="0.25">
      <c r="A10" s="57"/>
      <c r="B10" s="9"/>
      <c r="C10" s="64"/>
      <c r="D10" s="207"/>
      <c r="E10" s="64"/>
    </row>
    <row r="11" spans="1:5" x14ac:dyDescent="0.25">
      <c r="A11" s="57">
        <v>543500</v>
      </c>
      <c r="B11" s="9" t="s">
        <v>6</v>
      </c>
      <c r="C11" s="64">
        <v>300</v>
      </c>
      <c r="D11" s="207"/>
      <c r="E11" s="64">
        <f>SUM(C11:D11)</f>
        <v>300</v>
      </c>
    </row>
    <row r="12" spans="1:5" x14ac:dyDescent="0.25">
      <c r="A12" s="57">
        <v>542900</v>
      </c>
      <c r="B12" s="26" t="s">
        <v>28</v>
      </c>
      <c r="C12" s="64">
        <v>13643</v>
      </c>
      <c r="D12" s="207"/>
      <c r="E12" s="64">
        <f>SUM(C12:D12)</f>
        <v>13643</v>
      </c>
    </row>
    <row r="13" spans="1:5" x14ac:dyDescent="0.25">
      <c r="A13" s="57"/>
      <c r="B13" s="6" t="s">
        <v>9</v>
      </c>
      <c r="C13" s="65">
        <f>SUM(C11:C12)</f>
        <v>13943</v>
      </c>
      <c r="D13" s="208">
        <f>SUM(D11:D12)</f>
        <v>0</v>
      </c>
      <c r="E13" s="65">
        <f>SUM(E11:E12)</f>
        <v>13943</v>
      </c>
    </row>
    <row r="14" spans="1:5" x14ac:dyDescent="0.25">
      <c r="A14" s="57"/>
      <c r="B14" s="9"/>
      <c r="C14" s="64"/>
      <c r="D14" s="207"/>
      <c r="E14" s="64"/>
    </row>
    <row r="15" spans="1:5" x14ac:dyDescent="0.25">
      <c r="A15" s="57">
        <v>552400</v>
      </c>
      <c r="B15" s="9" t="s">
        <v>11</v>
      </c>
      <c r="C15" s="64">
        <v>3580</v>
      </c>
      <c r="D15" s="207"/>
      <c r="E15" s="64">
        <f>SUM(C15:D15)</f>
        <v>3580</v>
      </c>
    </row>
    <row r="16" spans="1:5" x14ac:dyDescent="0.25">
      <c r="A16" s="9"/>
      <c r="B16" s="6" t="s">
        <v>12</v>
      </c>
      <c r="C16" s="65">
        <f>SUM(C15)</f>
        <v>3580</v>
      </c>
      <c r="D16" s="208">
        <f>SUM(D15)</f>
        <v>0</v>
      </c>
      <c r="E16" s="65">
        <f>SUM(E15)</f>
        <v>3580</v>
      </c>
    </row>
    <row r="17" spans="1:5" x14ac:dyDescent="0.25">
      <c r="A17" s="9"/>
      <c r="B17" s="9"/>
      <c r="C17" s="64"/>
      <c r="D17" s="207"/>
      <c r="E17" s="64"/>
    </row>
    <row r="18" spans="1:5" x14ac:dyDescent="0.25">
      <c r="A18" s="9"/>
      <c r="B18" s="9"/>
      <c r="C18" s="64"/>
      <c r="D18" s="207"/>
      <c r="E18" s="64"/>
    </row>
    <row r="19" spans="1:5" s="23" customFormat="1" ht="15.6" x14ac:dyDescent="0.3">
      <c r="A19" s="12" t="s">
        <v>252</v>
      </c>
      <c r="B19" s="12"/>
      <c r="C19" s="70">
        <f>SUM(C9+C13+C16)</f>
        <v>18073</v>
      </c>
      <c r="D19" s="209">
        <f>SUM(D9+D13+D16)</f>
        <v>0</v>
      </c>
      <c r="E19" s="70">
        <f>SUM(E9+E13+E16)</f>
        <v>18073</v>
      </c>
    </row>
  </sheetData>
  <mergeCells count="1">
    <mergeCell ref="A4:B4"/>
  </mergeCells>
  <phoneticPr fontId="0" type="noConversion"/>
  <printOptions horizontalCentered="1"/>
  <pageMargins left="0.75" right="0.75" top="1" bottom="1" header="0.5" footer="0.5"/>
  <pageSetup scale="77" firstPageNumber="41" orientation="portrait" useFirstPageNumber="1" r:id="rId1"/>
  <headerFooter alignWithMargins="0">
    <oddFooter>&amp;C&amp;"Arial,Bold"&amp;P</oddFooter>
  </headerFooter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E20"/>
  <sheetViews>
    <sheetView workbookViewId="0">
      <selection activeCell="A3" sqref="A3"/>
    </sheetView>
  </sheetViews>
  <sheetFormatPr defaultRowHeight="13.2" x14ac:dyDescent="0.25"/>
  <cols>
    <col min="1" max="1" width="11.6640625" customWidth="1"/>
    <col min="2" max="2" width="52.6640625" customWidth="1"/>
    <col min="3" max="3" width="17.6640625" customWidth="1"/>
    <col min="4" max="4" width="17.6640625" style="215" customWidth="1"/>
    <col min="5" max="6" width="17.6640625" customWidth="1"/>
  </cols>
  <sheetData>
    <row r="1" spans="1:5" ht="15.6" x14ac:dyDescent="0.3">
      <c r="A1" s="5" t="s">
        <v>261</v>
      </c>
    </row>
    <row r="2" spans="1:5" ht="15.6" x14ac:dyDescent="0.3">
      <c r="A2" s="5" t="s">
        <v>510</v>
      </c>
    </row>
    <row r="3" spans="1:5" ht="13.8" thickBot="1" x14ac:dyDescent="0.3"/>
    <row r="4" spans="1:5" ht="15.6" x14ac:dyDescent="0.3">
      <c r="A4" s="413" t="s">
        <v>263</v>
      </c>
      <c r="B4" s="414"/>
      <c r="C4" s="94" t="s">
        <v>483</v>
      </c>
      <c r="D4" s="356"/>
      <c r="E4" s="362" t="s">
        <v>511</v>
      </c>
    </row>
    <row r="5" spans="1:5" ht="15.6" x14ac:dyDescent="0.3">
      <c r="A5" s="60"/>
      <c r="B5" s="61"/>
      <c r="C5" s="93" t="s">
        <v>345</v>
      </c>
      <c r="D5" s="358"/>
      <c r="E5" s="363" t="s">
        <v>342</v>
      </c>
    </row>
    <row r="6" spans="1:5" ht="16.2" thickBot="1" x14ac:dyDescent="0.35">
      <c r="A6" s="13"/>
      <c r="B6" s="14"/>
      <c r="C6" s="14" t="s">
        <v>290</v>
      </c>
      <c r="D6" s="360" t="s">
        <v>493</v>
      </c>
      <c r="E6" s="364" t="s">
        <v>290</v>
      </c>
    </row>
    <row r="7" spans="1:5" ht="13.8" x14ac:dyDescent="0.25">
      <c r="A7" s="62">
        <v>72214</v>
      </c>
      <c r="B7" s="78" t="s">
        <v>37</v>
      </c>
      <c r="C7" s="25"/>
      <c r="D7" s="216"/>
      <c r="E7" s="25"/>
    </row>
    <row r="8" spans="1:5" x14ac:dyDescent="0.25">
      <c r="A8" s="20">
        <v>535500</v>
      </c>
      <c r="B8" s="8" t="s">
        <v>2</v>
      </c>
      <c r="C8" s="64">
        <v>3500</v>
      </c>
      <c r="D8" s="207"/>
      <c r="E8" s="64">
        <f>SUM(C8:D8)</f>
        <v>3500</v>
      </c>
    </row>
    <row r="9" spans="1:5" x14ac:dyDescent="0.25">
      <c r="A9" s="20">
        <v>532000</v>
      </c>
      <c r="B9" s="8" t="s">
        <v>266</v>
      </c>
      <c r="C9" s="64">
        <v>2000</v>
      </c>
      <c r="D9" s="207"/>
      <c r="E9" s="64">
        <f>SUM(C9:D9)</f>
        <v>2000</v>
      </c>
    </row>
    <row r="10" spans="1:5" x14ac:dyDescent="0.25">
      <c r="A10" s="6"/>
      <c r="B10" s="6" t="s">
        <v>4</v>
      </c>
      <c r="C10" s="65">
        <f>SUM(C8:C9)</f>
        <v>5500</v>
      </c>
      <c r="D10" s="208">
        <f>SUM(D8:D9)</f>
        <v>0</v>
      </c>
      <c r="E10" s="65">
        <f>SUM(E8:E9)</f>
        <v>5500</v>
      </c>
    </row>
    <row r="11" spans="1:5" x14ac:dyDescent="0.25">
      <c r="A11" s="6"/>
      <c r="B11" s="6"/>
      <c r="C11" s="64"/>
      <c r="D11" s="207"/>
      <c r="E11" s="64"/>
    </row>
    <row r="12" spans="1:5" x14ac:dyDescent="0.25">
      <c r="A12" s="20">
        <v>543500</v>
      </c>
      <c r="B12" s="26" t="s">
        <v>160</v>
      </c>
      <c r="C12" s="64">
        <v>5000</v>
      </c>
      <c r="D12" s="207"/>
      <c r="E12" s="64">
        <f>SUM(C12:D12)</f>
        <v>5000</v>
      </c>
    </row>
    <row r="13" spans="1:5" x14ac:dyDescent="0.25">
      <c r="A13" s="20">
        <v>542900</v>
      </c>
      <c r="B13" s="26" t="s">
        <v>28</v>
      </c>
      <c r="C13" s="64">
        <v>14291</v>
      </c>
      <c r="D13" s="207"/>
      <c r="E13" s="64">
        <f>SUM(C13:D13)</f>
        <v>14291</v>
      </c>
    </row>
    <row r="14" spans="1:5" x14ac:dyDescent="0.25">
      <c r="A14" s="57"/>
      <c r="B14" s="6" t="s">
        <v>9</v>
      </c>
      <c r="C14" s="65">
        <f>SUM(C12:C13)</f>
        <v>19291</v>
      </c>
      <c r="D14" s="208">
        <f>SUM(D12:D13)</f>
        <v>0</v>
      </c>
      <c r="E14" s="65">
        <f>SUM(E12:E13)</f>
        <v>19291</v>
      </c>
    </row>
    <row r="15" spans="1:5" x14ac:dyDescent="0.25">
      <c r="A15" s="57"/>
      <c r="B15" s="9"/>
      <c r="C15" s="64"/>
      <c r="D15" s="207"/>
      <c r="E15" s="64"/>
    </row>
    <row r="16" spans="1:5" x14ac:dyDescent="0.25">
      <c r="A16" s="20">
        <v>552400</v>
      </c>
      <c r="B16" s="44" t="s">
        <v>237</v>
      </c>
      <c r="C16" s="64">
        <v>4489</v>
      </c>
      <c r="D16" s="207"/>
      <c r="E16" s="64">
        <f>SUM(C16:D16)</f>
        <v>4489</v>
      </c>
    </row>
    <row r="17" spans="1:5" s="1" customFormat="1" x14ac:dyDescent="0.25">
      <c r="A17" s="6"/>
      <c r="B17" s="6" t="s">
        <v>12</v>
      </c>
      <c r="C17" s="65">
        <f>SUM(C16)</f>
        <v>4489</v>
      </c>
      <c r="D17" s="208">
        <f>SUM(D16)</f>
        <v>0</v>
      </c>
      <c r="E17" s="65">
        <f>SUM(E16)</f>
        <v>4489</v>
      </c>
    </row>
    <row r="18" spans="1:5" x14ac:dyDescent="0.25">
      <c r="A18" s="9"/>
      <c r="B18" s="9"/>
      <c r="C18" s="64"/>
      <c r="D18" s="207"/>
      <c r="E18" s="64"/>
    </row>
    <row r="19" spans="1:5" x14ac:dyDescent="0.25">
      <c r="A19" s="9"/>
      <c r="B19" s="9"/>
      <c r="C19" s="64"/>
      <c r="D19" s="207"/>
      <c r="E19" s="64"/>
    </row>
    <row r="20" spans="1:5" s="23" customFormat="1" ht="15.6" x14ac:dyDescent="0.3">
      <c r="A20" s="12" t="s">
        <v>264</v>
      </c>
      <c r="B20" s="12"/>
      <c r="C20" s="70">
        <f>+C17+C14+C10</f>
        <v>29280</v>
      </c>
      <c r="D20" s="209">
        <f>+D17+D14+D10</f>
        <v>0</v>
      </c>
      <c r="E20" s="70">
        <f>+E17+E14+E10</f>
        <v>29280</v>
      </c>
    </row>
  </sheetData>
  <mergeCells count="1">
    <mergeCell ref="A4:B4"/>
  </mergeCells>
  <phoneticPr fontId="0" type="noConversion"/>
  <printOptions horizontalCentered="1"/>
  <pageMargins left="0.75" right="0.75" top="1" bottom="1" header="0.5" footer="0.5"/>
  <pageSetup scale="77" firstPageNumber="42" orientation="portrait" useFirstPageNumber="1" r:id="rId1"/>
  <headerFooter alignWithMargins="0">
    <oddFooter>&amp;C&amp;"Arial,Bold"&amp;P</oddFooter>
  </headerFooter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E18"/>
  <sheetViews>
    <sheetView workbookViewId="0">
      <selection activeCell="A3" sqref="A3"/>
    </sheetView>
  </sheetViews>
  <sheetFormatPr defaultRowHeight="13.2" x14ac:dyDescent="0.25"/>
  <cols>
    <col min="1" max="1" width="11.6640625" customWidth="1"/>
    <col min="2" max="2" width="52.6640625" customWidth="1"/>
    <col min="3" max="3" width="17.6640625" customWidth="1"/>
    <col min="4" max="4" width="17.6640625" style="215" customWidth="1"/>
    <col min="5" max="6" width="17.6640625" customWidth="1"/>
  </cols>
  <sheetData>
    <row r="1" spans="1:5" ht="15.6" x14ac:dyDescent="0.3">
      <c r="A1" s="5" t="s">
        <v>261</v>
      </c>
    </row>
    <row r="2" spans="1:5" ht="15.6" x14ac:dyDescent="0.3">
      <c r="A2" s="5" t="s">
        <v>510</v>
      </c>
    </row>
    <row r="3" spans="1:5" ht="13.8" thickBot="1" x14ac:dyDescent="0.3"/>
    <row r="4" spans="1:5" ht="15.6" x14ac:dyDescent="0.3">
      <c r="A4" s="413" t="s">
        <v>50</v>
      </c>
      <c r="B4" s="414"/>
      <c r="C4" s="94" t="s">
        <v>483</v>
      </c>
      <c r="D4" s="356"/>
      <c r="E4" s="362" t="s">
        <v>511</v>
      </c>
    </row>
    <row r="5" spans="1:5" ht="15.6" x14ac:dyDescent="0.3">
      <c r="A5" s="60"/>
      <c r="B5" s="61"/>
      <c r="C5" s="93" t="s">
        <v>345</v>
      </c>
      <c r="D5" s="358"/>
      <c r="E5" s="363" t="s">
        <v>342</v>
      </c>
    </row>
    <row r="6" spans="1:5" ht="16.2" thickBot="1" x14ac:dyDescent="0.35">
      <c r="A6" s="13"/>
      <c r="B6" s="14"/>
      <c r="C6" s="14" t="s">
        <v>290</v>
      </c>
      <c r="D6" s="360" t="s">
        <v>493</v>
      </c>
      <c r="E6" s="364" t="s">
        <v>290</v>
      </c>
    </row>
    <row r="7" spans="1:5" ht="13.8" x14ac:dyDescent="0.25">
      <c r="A7" s="62">
        <v>72216</v>
      </c>
      <c r="B7" s="78" t="s">
        <v>37</v>
      </c>
      <c r="C7" s="25"/>
      <c r="D7" s="216"/>
      <c r="E7" s="25"/>
    </row>
    <row r="8" spans="1:5" x14ac:dyDescent="0.25">
      <c r="A8" s="57">
        <v>533600</v>
      </c>
      <c r="B8" s="26" t="s">
        <v>339</v>
      </c>
      <c r="C8" s="64">
        <v>35200</v>
      </c>
      <c r="D8" s="207"/>
      <c r="E8" s="64">
        <f>SUM(C8:D8)</f>
        <v>35200</v>
      </c>
    </row>
    <row r="9" spans="1:5" s="1" customFormat="1" x14ac:dyDescent="0.25">
      <c r="A9" s="6"/>
      <c r="B9" s="6" t="s">
        <v>4</v>
      </c>
      <c r="C9" s="65">
        <f>SUM(C8:C8)</f>
        <v>35200</v>
      </c>
      <c r="D9" s="208">
        <f>SUM(D8:D8)</f>
        <v>0</v>
      </c>
      <c r="E9" s="65">
        <f>SUM(E8:E8)</f>
        <v>35200</v>
      </c>
    </row>
    <row r="10" spans="1:5" x14ac:dyDescent="0.25">
      <c r="A10" s="57"/>
      <c r="B10" s="9"/>
      <c r="C10" s="64"/>
      <c r="D10" s="207"/>
      <c r="E10" s="64"/>
    </row>
    <row r="11" spans="1:5" x14ac:dyDescent="0.25">
      <c r="A11" s="57">
        <v>543500</v>
      </c>
      <c r="B11" s="9" t="s">
        <v>6</v>
      </c>
      <c r="C11" s="64">
        <v>7277</v>
      </c>
      <c r="D11" s="207"/>
      <c r="E11" s="64">
        <f>SUM(C11:D11)</f>
        <v>7277</v>
      </c>
    </row>
    <row r="12" spans="1:5" x14ac:dyDescent="0.25">
      <c r="A12" s="57">
        <v>542900</v>
      </c>
      <c r="B12" s="9" t="s">
        <v>28</v>
      </c>
      <c r="C12" s="64">
        <v>45000</v>
      </c>
      <c r="D12" s="207"/>
      <c r="E12" s="64">
        <f>SUM(C12:D12)</f>
        <v>45000</v>
      </c>
    </row>
    <row r="13" spans="1:5" x14ac:dyDescent="0.25">
      <c r="A13" s="57">
        <v>543200</v>
      </c>
      <c r="B13" s="9" t="s">
        <v>8</v>
      </c>
      <c r="C13" s="64">
        <v>286067</v>
      </c>
      <c r="D13" s="207"/>
      <c r="E13" s="64">
        <f>SUM(C13:D13)</f>
        <v>286067</v>
      </c>
    </row>
    <row r="14" spans="1:5" x14ac:dyDescent="0.25">
      <c r="A14" s="57">
        <v>543700</v>
      </c>
      <c r="B14" s="9" t="s">
        <v>43</v>
      </c>
      <c r="C14" s="64">
        <v>89025</v>
      </c>
      <c r="D14" s="207"/>
      <c r="E14" s="64">
        <f>SUM(C14:D14)</f>
        <v>89025</v>
      </c>
    </row>
    <row r="15" spans="1:5" s="3" customFormat="1" x14ac:dyDescent="0.25">
      <c r="A15" s="6"/>
      <c r="B15" s="6" t="s">
        <v>9</v>
      </c>
      <c r="C15" s="80">
        <f>SUM(C11:C14)</f>
        <v>427369</v>
      </c>
      <c r="D15" s="225">
        <f>SUM(D11:D14)</f>
        <v>0</v>
      </c>
      <c r="E15" s="80">
        <f>SUM(E11:E14)</f>
        <v>427369</v>
      </c>
    </row>
    <row r="16" spans="1:5" x14ac:dyDescent="0.25">
      <c r="A16" s="57"/>
      <c r="B16" s="9"/>
      <c r="C16" s="64"/>
      <c r="D16" s="207"/>
      <c r="E16" s="64"/>
    </row>
    <row r="17" spans="1:5" x14ac:dyDescent="0.25">
      <c r="A17" s="9"/>
      <c r="B17" s="9"/>
      <c r="C17" s="64"/>
      <c r="D17" s="207"/>
      <c r="E17" s="64"/>
    </row>
    <row r="18" spans="1:5" s="23" customFormat="1" ht="15.6" x14ac:dyDescent="0.3">
      <c r="A18" s="12" t="s">
        <v>54</v>
      </c>
      <c r="B18" s="12"/>
      <c r="C18" s="70">
        <f>SUM(C9+C15)</f>
        <v>462569</v>
      </c>
      <c r="D18" s="209">
        <f>SUM(D9+D15)</f>
        <v>0</v>
      </c>
      <c r="E18" s="70">
        <f>SUM(E9+E15)</f>
        <v>462569</v>
      </c>
    </row>
  </sheetData>
  <mergeCells count="1">
    <mergeCell ref="A4:B4"/>
  </mergeCells>
  <phoneticPr fontId="0" type="noConversion"/>
  <printOptions horizontalCentered="1"/>
  <pageMargins left="0.75" right="0.75" top="1" bottom="1" header="0.5" footer="0.5"/>
  <pageSetup scale="77" firstPageNumber="43" orientation="portrait" useFirstPageNumber="1" r:id="rId1"/>
  <headerFooter alignWithMargins="0">
    <oddFooter>&amp;C&amp;"Arial,Bold"&amp;P</oddFooter>
  </headerFooter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E23"/>
  <sheetViews>
    <sheetView workbookViewId="0">
      <selection activeCell="E23" sqref="E23"/>
    </sheetView>
  </sheetViews>
  <sheetFormatPr defaultRowHeight="13.2" x14ac:dyDescent="0.25"/>
  <cols>
    <col min="1" max="1" width="11.6640625" customWidth="1"/>
    <col min="2" max="2" width="52.6640625" customWidth="1"/>
    <col min="3" max="3" width="17.6640625" customWidth="1"/>
    <col min="4" max="4" width="17.6640625" style="215" customWidth="1"/>
    <col min="5" max="6" width="17.6640625" customWidth="1"/>
  </cols>
  <sheetData>
    <row r="1" spans="1:5" ht="15.6" x14ac:dyDescent="0.3">
      <c r="A1" s="5" t="s">
        <v>261</v>
      </c>
    </row>
    <row r="2" spans="1:5" ht="15.6" x14ac:dyDescent="0.3">
      <c r="A2" s="5" t="s">
        <v>510</v>
      </c>
    </row>
    <row r="3" spans="1:5" ht="13.8" thickBot="1" x14ac:dyDescent="0.3"/>
    <row r="4" spans="1:5" ht="15.6" x14ac:dyDescent="0.3">
      <c r="A4" s="413" t="s">
        <v>143</v>
      </c>
      <c r="B4" s="414"/>
      <c r="C4" s="94" t="s">
        <v>483</v>
      </c>
      <c r="D4" s="356"/>
      <c r="E4" s="362" t="s">
        <v>511</v>
      </c>
    </row>
    <row r="5" spans="1:5" ht="15.6" x14ac:dyDescent="0.3">
      <c r="A5" s="60"/>
      <c r="B5" s="61"/>
      <c r="C5" s="93" t="s">
        <v>345</v>
      </c>
      <c r="D5" s="358"/>
      <c r="E5" s="363" t="s">
        <v>342</v>
      </c>
    </row>
    <row r="6" spans="1:5" ht="16.2" thickBot="1" x14ac:dyDescent="0.35">
      <c r="A6" s="13"/>
      <c r="B6" s="14"/>
      <c r="C6" s="14" t="s">
        <v>290</v>
      </c>
      <c r="D6" s="360" t="s">
        <v>493</v>
      </c>
      <c r="E6" s="364" t="s">
        <v>290</v>
      </c>
    </row>
    <row r="7" spans="1:5" ht="13.8" x14ac:dyDescent="0.25">
      <c r="A7" s="62">
        <v>72217</v>
      </c>
      <c r="B7" s="78" t="s">
        <v>37</v>
      </c>
      <c r="C7" s="25"/>
      <c r="D7" s="216"/>
      <c r="E7" s="25"/>
    </row>
    <row r="8" spans="1:5" x14ac:dyDescent="0.25">
      <c r="A8" s="20">
        <v>519500</v>
      </c>
      <c r="B8" s="26" t="s">
        <v>110</v>
      </c>
      <c r="C8" s="64">
        <v>0</v>
      </c>
      <c r="D8" s="207">
        <v>5000</v>
      </c>
      <c r="E8" s="64">
        <f>SUM(C8:D8)</f>
        <v>5000</v>
      </c>
    </row>
    <row r="9" spans="1:5" x14ac:dyDescent="0.25">
      <c r="A9" s="20">
        <v>519600</v>
      </c>
      <c r="B9" s="26" t="s">
        <v>517</v>
      </c>
      <c r="C9" s="64">
        <v>0</v>
      </c>
      <c r="D9" s="207">
        <v>50000</v>
      </c>
      <c r="E9" s="64">
        <f>SUM(C9:D9)</f>
        <v>50000</v>
      </c>
    </row>
    <row r="10" spans="1:5" x14ac:dyDescent="0.25">
      <c r="A10" s="6"/>
      <c r="B10" s="6" t="s">
        <v>102</v>
      </c>
      <c r="C10" s="65">
        <f>SUM(C8:C9)</f>
        <v>0</v>
      </c>
      <c r="D10" s="65">
        <f>SUM(D8:D9)</f>
        <v>55000</v>
      </c>
      <c r="E10" s="65">
        <f>SUM(E8:E9)</f>
        <v>55000</v>
      </c>
    </row>
    <row r="11" spans="1:5" ht="13.8" x14ac:dyDescent="0.25">
      <c r="A11" s="62"/>
      <c r="B11" s="78"/>
      <c r="C11" s="25"/>
      <c r="D11" s="216"/>
      <c r="E11" s="25"/>
    </row>
    <row r="12" spans="1:5" x14ac:dyDescent="0.25">
      <c r="A12" s="20">
        <v>520100</v>
      </c>
      <c r="B12" s="26" t="s">
        <v>15</v>
      </c>
      <c r="C12" s="64">
        <v>995</v>
      </c>
      <c r="D12" s="207">
        <v>4208</v>
      </c>
      <c r="E12" s="64">
        <f>SUM(C12:D12)</f>
        <v>5203</v>
      </c>
    </row>
    <row r="13" spans="1:5" x14ac:dyDescent="0.25">
      <c r="A13" s="20">
        <v>520400</v>
      </c>
      <c r="B13" s="26" t="s">
        <v>16</v>
      </c>
      <c r="C13" s="64">
        <v>0</v>
      </c>
      <c r="D13" s="207">
        <v>4440</v>
      </c>
      <c r="E13" s="64">
        <f>SUM(C13:D13)</f>
        <v>4440</v>
      </c>
    </row>
    <row r="14" spans="1:5" x14ac:dyDescent="0.25">
      <c r="A14" s="6"/>
      <c r="B14" s="6" t="s">
        <v>111</v>
      </c>
      <c r="C14" s="65">
        <f>SUM(C12:C13)</f>
        <v>995</v>
      </c>
      <c r="D14" s="65">
        <f>SUM(D12:D13)</f>
        <v>8648</v>
      </c>
      <c r="E14" s="65">
        <f>SUM(E12:E13)</f>
        <v>9643</v>
      </c>
    </row>
    <row r="15" spans="1:5" x14ac:dyDescent="0.25">
      <c r="A15" s="6"/>
      <c r="B15" s="6"/>
      <c r="C15" s="64"/>
      <c r="D15" s="207"/>
      <c r="E15" s="64"/>
    </row>
    <row r="16" spans="1:5" x14ac:dyDescent="0.25">
      <c r="A16" s="20">
        <v>543500</v>
      </c>
      <c r="B16" s="26" t="s">
        <v>6</v>
      </c>
      <c r="C16" s="64">
        <v>17494</v>
      </c>
      <c r="D16" s="207"/>
      <c r="E16" s="64">
        <f>SUM(C16:D16)</f>
        <v>17494</v>
      </c>
    </row>
    <row r="17" spans="1:5" x14ac:dyDescent="0.25">
      <c r="A17" s="6"/>
      <c r="B17" s="6" t="s">
        <v>9</v>
      </c>
      <c r="C17" s="65">
        <f>SUM(C16:C16)</f>
        <v>17494</v>
      </c>
      <c r="D17" s="208">
        <f>SUM(D16:D16)</f>
        <v>0</v>
      </c>
      <c r="E17" s="65">
        <f>SUM(E16:E16)</f>
        <v>17494</v>
      </c>
    </row>
    <row r="18" spans="1:5" x14ac:dyDescent="0.25">
      <c r="A18" s="20"/>
      <c r="B18" s="26"/>
      <c r="C18" s="64"/>
      <c r="D18" s="207"/>
      <c r="E18" s="64"/>
    </row>
    <row r="19" spans="1:5" x14ac:dyDescent="0.25">
      <c r="A19" s="20">
        <v>552400</v>
      </c>
      <c r="B19" s="26" t="s">
        <v>11</v>
      </c>
      <c r="C19" s="64">
        <v>520000</v>
      </c>
      <c r="D19" s="207">
        <v>-63648</v>
      </c>
      <c r="E19" s="64">
        <f>SUM(C19:D19)</f>
        <v>456352</v>
      </c>
    </row>
    <row r="20" spans="1:5" x14ac:dyDescent="0.25">
      <c r="A20" s="26"/>
      <c r="B20" s="6" t="s">
        <v>12</v>
      </c>
      <c r="C20" s="65">
        <f>SUM(C19)</f>
        <v>520000</v>
      </c>
      <c r="D20" s="208">
        <f>SUM(D19)</f>
        <v>-63648</v>
      </c>
      <c r="E20" s="65">
        <f>SUM(E19)</f>
        <v>456352</v>
      </c>
    </row>
    <row r="21" spans="1:5" x14ac:dyDescent="0.25">
      <c r="A21" s="26"/>
      <c r="B21" s="26"/>
      <c r="C21" s="64"/>
      <c r="D21" s="207"/>
      <c r="E21" s="64"/>
    </row>
    <row r="22" spans="1:5" x14ac:dyDescent="0.25">
      <c r="A22" s="26"/>
      <c r="B22" s="26"/>
      <c r="C22" s="64"/>
      <c r="D22" s="207"/>
      <c r="E22" s="64"/>
    </row>
    <row r="23" spans="1:5" s="23" customFormat="1" ht="15.6" x14ac:dyDescent="0.3">
      <c r="A23" s="12" t="s">
        <v>144</v>
      </c>
      <c r="B23" s="12"/>
      <c r="C23" s="70">
        <f>+C20+C17+C14+C10</f>
        <v>538489</v>
      </c>
      <c r="D23" s="70">
        <f>+D20+D17+D14+D10</f>
        <v>0</v>
      </c>
      <c r="E23" s="70">
        <f>+E20+E17+E14+E10</f>
        <v>538489</v>
      </c>
    </row>
  </sheetData>
  <mergeCells count="1">
    <mergeCell ref="A4:B4"/>
  </mergeCells>
  <phoneticPr fontId="0" type="noConversion"/>
  <printOptions horizontalCentered="1"/>
  <pageMargins left="0.75" right="0.75" top="1" bottom="1" header="0.5" footer="0.5"/>
  <pageSetup scale="77" firstPageNumber="44" orientation="portrait" useFirstPageNumber="1" r:id="rId1"/>
  <headerFooter alignWithMargins="0">
    <oddFooter>&amp;C&amp;"Arial,Bold"&amp;P</oddFooter>
  </headerFooter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E29"/>
  <sheetViews>
    <sheetView workbookViewId="0">
      <selection activeCell="D14" sqref="D14"/>
    </sheetView>
  </sheetViews>
  <sheetFormatPr defaultRowHeight="13.2" x14ac:dyDescent="0.25"/>
  <cols>
    <col min="1" max="1" width="11.6640625" customWidth="1"/>
    <col min="2" max="2" width="52.6640625" customWidth="1"/>
    <col min="3" max="3" width="17.6640625" customWidth="1"/>
    <col min="4" max="4" width="17.6640625" style="215" customWidth="1"/>
    <col min="5" max="6" width="17.6640625" customWidth="1"/>
  </cols>
  <sheetData>
    <row r="1" spans="1:5" ht="15.6" x14ac:dyDescent="0.3">
      <c r="A1" s="5" t="s">
        <v>261</v>
      </c>
    </row>
    <row r="2" spans="1:5" ht="15.6" x14ac:dyDescent="0.3">
      <c r="A2" s="5" t="s">
        <v>510</v>
      </c>
    </row>
    <row r="3" spans="1:5" ht="13.8" thickBot="1" x14ac:dyDescent="0.3"/>
    <row r="4" spans="1:5" ht="15.6" x14ac:dyDescent="0.3">
      <c r="A4" s="413" t="s">
        <v>126</v>
      </c>
      <c r="B4" s="414"/>
      <c r="C4" s="94" t="s">
        <v>483</v>
      </c>
      <c r="D4" s="356"/>
      <c r="E4" s="362" t="s">
        <v>511</v>
      </c>
    </row>
    <row r="5" spans="1:5" ht="15.6" x14ac:dyDescent="0.3">
      <c r="A5" s="60"/>
      <c r="B5" s="61"/>
      <c r="C5" s="93" t="s">
        <v>345</v>
      </c>
      <c r="D5" s="358"/>
      <c r="E5" s="363" t="s">
        <v>342</v>
      </c>
    </row>
    <row r="6" spans="1:5" ht="16.2" thickBot="1" x14ac:dyDescent="0.35">
      <c r="A6" s="13"/>
      <c r="B6" s="14"/>
      <c r="C6" s="14" t="s">
        <v>290</v>
      </c>
      <c r="D6" s="360" t="s">
        <v>493</v>
      </c>
      <c r="E6" s="364" t="s">
        <v>290</v>
      </c>
    </row>
    <row r="7" spans="1:5" ht="13.8" x14ac:dyDescent="0.25">
      <c r="A7" s="62">
        <v>72260</v>
      </c>
      <c r="B7" s="78" t="s">
        <v>37</v>
      </c>
      <c r="C7" s="25"/>
      <c r="D7" s="216"/>
      <c r="E7" s="25"/>
    </row>
    <row r="8" spans="1:5" x14ac:dyDescent="0.25">
      <c r="A8" s="20">
        <v>516200</v>
      </c>
      <c r="B8" s="26" t="s">
        <v>14</v>
      </c>
      <c r="C8" s="66">
        <v>17639</v>
      </c>
      <c r="D8" s="207">
        <f>-99+182</f>
        <v>83</v>
      </c>
      <c r="E8" s="66">
        <f>SUM(C8:D8)</f>
        <v>17722</v>
      </c>
    </row>
    <row r="9" spans="1:5" x14ac:dyDescent="0.25">
      <c r="A9" s="20">
        <v>518975</v>
      </c>
      <c r="B9" s="26" t="s">
        <v>40</v>
      </c>
      <c r="C9" s="66">
        <v>14913</v>
      </c>
      <c r="D9" s="207">
        <f>-83+154</f>
        <v>71</v>
      </c>
      <c r="E9" s="66">
        <f>SUM(C9:D9)</f>
        <v>14984</v>
      </c>
    </row>
    <row r="10" spans="1:5" x14ac:dyDescent="0.25">
      <c r="A10" s="6"/>
      <c r="B10" s="6" t="s">
        <v>102</v>
      </c>
      <c r="C10" s="65">
        <f>SUM(C8:C9)</f>
        <v>32552</v>
      </c>
      <c r="D10" s="208">
        <f>SUM(D8:D9)</f>
        <v>154</v>
      </c>
      <c r="E10" s="65">
        <f>SUM(E8:E9)</f>
        <v>32706</v>
      </c>
    </row>
    <row r="11" spans="1:5" x14ac:dyDescent="0.25">
      <c r="A11" s="20"/>
      <c r="B11" s="26"/>
      <c r="C11" s="66"/>
      <c r="D11" s="207"/>
      <c r="E11" s="66"/>
    </row>
    <row r="12" spans="1:5" x14ac:dyDescent="0.25">
      <c r="A12" s="20">
        <v>520100</v>
      </c>
      <c r="B12" s="26" t="s">
        <v>15</v>
      </c>
      <c r="C12" s="66">
        <v>4593</v>
      </c>
      <c r="D12" s="207">
        <f>-26+47</f>
        <v>21</v>
      </c>
      <c r="E12" s="66">
        <f t="shared" ref="E12:E17" si="0">SUM(C12:D12)</f>
        <v>4614</v>
      </c>
    </row>
    <row r="13" spans="1:5" x14ac:dyDescent="0.25">
      <c r="A13" s="20">
        <v>521100</v>
      </c>
      <c r="B13" s="26" t="s">
        <v>20</v>
      </c>
      <c r="C13" s="66">
        <v>1803</v>
      </c>
      <c r="D13" s="207">
        <f>-10+19</f>
        <v>9</v>
      </c>
      <c r="E13" s="66">
        <f t="shared" si="0"/>
        <v>1812</v>
      </c>
    </row>
    <row r="14" spans="1:5" x14ac:dyDescent="0.25">
      <c r="A14" s="20">
        <v>520700</v>
      </c>
      <c r="B14" s="26" t="s">
        <v>18</v>
      </c>
      <c r="C14" s="66">
        <v>11090</v>
      </c>
      <c r="D14" s="207" t="s">
        <v>291</v>
      </c>
      <c r="E14" s="66">
        <f t="shared" si="0"/>
        <v>11090</v>
      </c>
    </row>
    <row r="15" spans="1:5" x14ac:dyDescent="0.25">
      <c r="A15" s="20">
        <v>520600</v>
      </c>
      <c r="B15" s="26" t="s">
        <v>17</v>
      </c>
      <c r="C15" s="66">
        <v>270</v>
      </c>
      <c r="D15" s="207"/>
      <c r="E15" s="66">
        <f t="shared" si="0"/>
        <v>270</v>
      </c>
    </row>
    <row r="16" spans="1:5" x14ac:dyDescent="0.25">
      <c r="A16" s="20">
        <v>520800</v>
      </c>
      <c r="B16" s="26" t="s">
        <v>19</v>
      </c>
      <c r="C16" s="66">
        <v>125</v>
      </c>
      <c r="D16" s="207"/>
      <c r="E16" s="66">
        <f t="shared" si="0"/>
        <v>125</v>
      </c>
    </row>
    <row r="17" spans="1:5" x14ac:dyDescent="0.25">
      <c r="A17" s="20">
        <v>529700</v>
      </c>
      <c r="B17" s="26" t="s">
        <v>196</v>
      </c>
      <c r="C17" s="66">
        <v>2210</v>
      </c>
      <c r="D17" s="207"/>
      <c r="E17" s="66">
        <f t="shared" si="0"/>
        <v>2210</v>
      </c>
    </row>
    <row r="18" spans="1:5" x14ac:dyDescent="0.25">
      <c r="A18" s="6"/>
      <c r="B18" s="6" t="s">
        <v>111</v>
      </c>
      <c r="C18" s="65">
        <f>SUM(C12:C17)</f>
        <v>20091</v>
      </c>
      <c r="D18" s="208">
        <f>SUM(D12:D17)</f>
        <v>30</v>
      </c>
      <c r="E18" s="65">
        <f>SUM(E12:E17)</f>
        <v>20121</v>
      </c>
    </row>
    <row r="19" spans="1:5" x14ac:dyDescent="0.25">
      <c r="A19" s="20"/>
      <c r="B19" s="26"/>
      <c r="C19" s="66"/>
      <c r="D19" s="207"/>
      <c r="E19" s="66"/>
    </row>
    <row r="20" spans="1:5" x14ac:dyDescent="0.25">
      <c r="A20" s="20">
        <v>539900</v>
      </c>
      <c r="B20" s="26" t="s">
        <v>22</v>
      </c>
      <c r="C20" s="66">
        <v>5000</v>
      </c>
      <c r="D20" s="207"/>
      <c r="E20" s="66">
        <f>SUM(C20:D20)</f>
        <v>5000</v>
      </c>
    </row>
    <row r="21" spans="1:5" x14ac:dyDescent="0.25">
      <c r="A21" s="20">
        <v>534800</v>
      </c>
      <c r="B21" s="26" t="s">
        <v>335</v>
      </c>
      <c r="C21" s="66">
        <v>50</v>
      </c>
      <c r="D21" s="207"/>
      <c r="E21" s="66">
        <f>SUM(C21:D21)</f>
        <v>50</v>
      </c>
    </row>
    <row r="22" spans="1:5" x14ac:dyDescent="0.25">
      <c r="A22" s="6"/>
      <c r="B22" s="6" t="s">
        <v>4</v>
      </c>
      <c r="C22" s="65">
        <f>SUM(C20:C21)</f>
        <v>5050</v>
      </c>
      <c r="D22" s="208">
        <f>SUM(D20:D21)</f>
        <v>0</v>
      </c>
      <c r="E22" s="65">
        <f>SUM(E20:E21)</f>
        <v>5050</v>
      </c>
    </row>
    <row r="23" spans="1:5" x14ac:dyDescent="0.25">
      <c r="A23" s="20"/>
      <c r="B23" s="26"/>
      <c r="C23" s="66"/>
      <c r="D23" s="207"/>
      <c r="E23" s="66"/>
    </row>
    <row r="24" spans="1:5" x14ac:dyDescent="0.25">
      <c r="A24" s="20">
        <v>543500</v>
      </c>
      <c r="B24" s="26" t="s">
        <v>6</v>
      </c>
      <c r="C24" s="66">
        <v>4737</v>
      </c>
      <c r="D24" s="207"/>
      <c r="E24" s="66">
        <f>SUM(C24:D24)</f>
        <v>4737</v>
      </c>
    </row>
    <row r="25" spans="1:5" x14ac:dyDescent="0.25">
      <c r="A25" s="20">
        <v>542950</v>
      </c>
      <c r="B25" s="26" t="s">
        <v>29</v>
      </c>
      <c r="C25" s="66">
        <v>25406</v>
      </c>
      <c r="D25" s="207"/>
      <c r="E25" s="66">
        <f>SUM(C25:D25)</f>
        <v>25406</v>
      </c>
    </row>
    <row r="26" spans="1:5" x14ac:dyDescent="0.25">
      <c r="A26" s="20"/>
      <c r="B26" s="6" t="s">
        <v>9</v>
      </c>
      <c r="C26" s="65">
        <f>SUM(C24:C25)</f>
        <v>30143</v>
      </c>
      <c r="D26" s="208">
        <f>SUM(D24:D25)</f>
        <v>0</v>
      </c>
      <c r="E26" s="65">
        <f>SUM(E24:E25)</f>
        <v>30143</v>
      </c>
    </row>
    <row r="27" spans="1:5" x14ac:dyDescent="0.25">
      <c r="A27" s="9"/>
      <c r="B27" s="9"/>
      <c r="C27" s="64"/>
      <c r="D27" s="207"/>
      <c r="E27" s="64"/>
    </row>
    <row r="28" spans="1:5" x14ac:dyDescent="0.25">
      <c r="A28" s="9"/>
      <c r="B28" s="9"/>
      <c r="C28" s="64"/>
      <c r="D28" s="207"/>
      <c r="E28" s="64"/>
    </row>
    <row r="29" spans="1:5" s="23" customFormat="1" ht="15.6" x14ac:dyDescent="0.3">
      <c r="A29" s="12" t="s">
        <v>127</v>
      </c>
      <c r="B29" s="12"/>
      <c r="C29" s="70">
        <f>SUM(C10+C18+C22+C26)</f>
        <v>87836</v>
      </c>
      <c r="D29" s="209">
        <f>SUM(D10+D18+D22+D26)</f>
        <v>184</v>
      </c>
      <c r="E29" s="70">
        <f>SUM(E10+E18+E22+E26)</f>
        <v>88020</v>
      </c>
    </row>
  </sheetData>
  <mergeCells count="1">
    <mergeCell ref="A4:B4"/>
  </mergeCells>
  <phoneticPr fontId="0" type="noConversion"/>
  <printOptions horizontalCentered="1"/>
  <pageMargins left="0.75" right="0.75" top="1" bottom="1" header="0.5" footer="0.5"/>
  <pageSetup scale="77" firstPageNumber="45" orientation="portrait" useFirstPageNumber="1" r:id="rId1"/>
  <headerFooter alignWithMargins="0">
    <oddFooter>&amp;C&amp;"Arial,Bold"&amp;P</oddFooter>
  </headerFooter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8"/>
  <sheetViews>
    <sheetView workbookViewId="0">
      <selection activeCell="A3" sqref="A3"/>
    </sheetView>
  </sheetViews>
  <sheetFormatPr defaultRowHeight="13.2" x14ac:dyDescent="0.25"/>
  <cols>
    <col min="1" max="1" width="11.6640625" customWidth="1"/>
    <col min="2" max="2" width="52.6640625" customWidth="1"/>
    <col min="3" max="3" width="17.6640625" customWidth="1"/>
    <col min="4" max="4" width="17.6640625" style="215" customWidth="1"/>
    <col min="5" max="6" width="17.6640625" customWidth="1"/>
  </cols>
  <sheetData>
    <row r="1" spans="1:5" ht="15.6" x14ac:dyDescent="0.3">
      <c r="A1" s="5" t="s">
        <v>261</v>
      </c>
    </row>
    <row r="2" spans="1:5" ht="15.6" x14ac:dyDescent="0.3">
      <c r="A2" s="5" t="s">
        <v>510</v>
      </c>
    </row>
    <row r="3" spans="1:5" ht="13.8" thickBot="1" x14ac:dyDescent="0.3"/>
    <row r="4" spans="1:5" ht="15.6" x14ac:dyDescent="0.3">
      <c r="A4" s="413" t="s">
        <v>255</v>
      </c>
      <c r="B4" s="414"/>
      <c r="C4" s="94" t="s">
        <v>483</v>
      </c>
      <c r="D4" s="356"/>
      <c r="E4" s="362" t="s">
        <v>511</v>
      </c>
    </row>
    <row r="5" spans="1:5" ht="15.6" x14ac:dyDescent="0.3">
      <c r="A5" s="60"/>
      <c r="B5" s="61"/>
      <c r="C5" s="93" t="s">
        <v>345</v>
      </c>
      <c r="D5" s="358"/>
      <c r="E5" s="363" t="s">
        <v>342</v>
      </c>
    </row>
    <row r="6" spans="1:5" ht="16.2" thickBot="1" x14ac:dyDescent="0.35">
      <c r="A6" s="13"/>
      <c r="B6" s="14"/>
      <c r="C6" s="14" t="s">
        <v>290</v>
      </c>
      <c r="D6" s="360" t="s">
        <v>493</v>
      </c>
      <c r="E6" s="364" t="s">
        <v>290</v>
      </c>
    </row>
    <row r="7" spans="1:5" ht="13.8" x14ac:dyDescent="0.25">
      <c r="A7" s="62">
        <v>71122</v>
      </c>
      <c r="B7" s="78" t="s">
        <v>37</v>
      </c>
      <c r="C7" s="25"/>
      <c r="D7" s="216"/>
      <c r="E7" s="25"/>
    </row>
    <row r="8" spans="1:5" x14ac:dyDescent="0.25">
      <c r="A8" s="20">
        <v>510300</v>
      </c>
      <c r="B8" s="8" t="s">
        <v>257</v>
      </c>
      <c r="C8" s="64">
        <v>2000</v>
      </c>
      <c r="D8" s="207"/>
      <c r="E8" s="64">
        <f>SUM(C8:D8)</f>
        <v>2000</v>
      </c>
    </row>
    <row r="9" spans="1:5" x14ac:dyDescent="0.25">
      <c r="A9" s="20">
        <v>518975</v>
      </c>
      <c r="B9" s="8" t="s">
        <v>40</v>
      </c>
      <c r="C9" s="64">
        <v>108128</v>
      </c>
      <c r="D9" s="207"/>
      <c r="E9" s="64">
        <f>SUM(C9:D9)</f>
        <v>108128</v>
      </c>
    </row>
    <row r="10" spans="1:5" x14ac:dyDescent="0.25">
      <c r="A10" s="6"/>
      <c r="B10" s="6" t="s">
        <v>102</v>
      </c>
      <c r="C10" s="65">
        <f>SUM(C8:C9)</f>
        <v>110128</v>
      </c>
      <c r="D10" s="208">
        <f>SUM(D8:D9)</f>
        <v>0</v>
      </c>
      <c r="E10" s="65">
        <f>SUM(E8:E9)</f>
        <v>110128</v>
      </c>
    </row>
    <row r="11" spans="1:5" x14ac:dyDescent="0.25">
      <c r="A11" s="20"/>
      <c r="B11" s="8"/>
      <c r="C11" s="64"/>
      <c r="D11" s="207"/>
      <c r="E11" s="64"/>
    </row>
    <row r="12" spans="1:5" x14ac:dyDescent="0.25">
      <c r="A12" s="20">
        <v>520100</v>
      </c>
      <c r="B12" s="8" t="s">
        <v>15</v>
      </c>
      <c r="C12" s="64">
        <v>8160</v>
      </c>
      <c r="D12" s="207"/>
      <c r="E12" s="64">
        <f>SUM(C12:D12)</f>
        <v>8160</v>
      </c>
    </row>
    <row r="13" spans="1:5" x14ac:dyDescent="0.25">
      <c r="A13" s="20">
        <v>520700</v>
      </c>
      <c r="B13" s="26" t="s">
        <v>18</v>
      </c>
      <c r="C13" s="64">
        <v>1531</v>
      </c>
      <c r="D13" s="207"/>
      <c r="E13" s="64">
        <f>SUM(C13:D13)</f>
        <v>1531</v>
      </c>
    </row>
    <row r="14" spans="1:5" x14ac:dyDescent="0.25">
      <c r="A14" s="20">
        <v>520400</v>
      </c>
      <c r="B14" s="8" t="s">
        <v>16</v>
      </c>
      <c r="C14" s="64">
        <v>10400</v>
      </c>
      <c r="D14" s="207"/>
      <c r="E14" s="64">
        <f>SUM(C14:D14)</f>
        <v>10400</v>
      </c>
    </row>
    <row r="15" spans="1:5" x14ac:dyDescent="0.25">
      <c r="A15" s="6"/>
      <c r="B15" s="6" t="s">
        <v>111</v>
      </c>
      <c r="C15" s="65">
        <f>SUM(C12:C14)</f>
        <v>20091</v>
      </c>
      <c r="D15" s="208">
        <f>SUM(D12:D14)</f>
        <v>0</v>
      </c>
      <c r="E15" s="65">
        <f>SUM(E12:E14)</f>
        <v>20091</v>
      </c>
    </row>
    <row r="16" spans="1:5" x14ac:dyDescent="0.25">
      <c r="A16" s="8"/>
      <c r="B16" s="8"/>
      <c r="C16" s="64"/>
      <c r="D16" s="207"/>
      <c r="E16" s="64"/>
    </row>
    <row r="17" spans="1:5" x14ac:dyDescent="0.25">
      <c r="A17" s="8"/>
      <c r="B17" s="8"/>
      <c r="C17" s="64"/>
      <c r="D17" s="207"/>
      <c r="E17" s="64"/>
    </row>
    <row r="18" spans="1:5" ht="15.6" x14ac:dyDescent="0.3">
      <c r="A18" s="12" t="s">
        <v>256</v>
      </c>
      <c r="B18" s="12"/>
      <c r="C18" s="70">
        <f>+C15+C10</f>
        <v>130219</v>
      </c>
      <c r="D18" s="209">
        <f>+D15+D10</f>
        <v>0</v>
      </c>
      <c r="E18" s="70">
        <f>+E15+E10</f>
        <v>130219</v>
      </c>
    </row>
  </sheetData>
  <mergeCells count="1">
    <mergeCell ref="A4:B4"/>
  </mergeCells>
  <phoneticPr fontId="0" type="noConversion"/>
  <pageMargins left="0.75" right="0.75" top="1" bottom="1" header="0.5" footer="0.5"/>
  <pageSetup scale="77" firstPageNumber="46" orientation="portrait" useFirstPageNumber="1" r:id="rId1"/>
  <headerFooter alignWithMargins="0">
    <oddFooter>&amp;C&amp;"Arial,Bold"&amp;P</oddFooter>
  </headerFooter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2"/>
  <sheetViews>
    <sheetView workbookViewId="0">
      <selection activeCell="A3" sqref="A3"/>
    </sheetView>
  </sheetViews>
  <sheetFormatPr defaultRowHeight="13.2" x14ac:dyDescent="0.25"/>
  <cols>
    <col min="1" max="1" width="11.6640625" customWidth="1"/>
    <col min="2" max="2" width="52.6640625" customWidth="1"/>
    <col min="3" max="5" width="17.6640625" customWidth="1"/>
  </cols>
  <sheetData>
    <row r="1" spans="1:5" ht="15.6" x14ac:dyDescent="0.3">
      <c r="A1" s="5" t="s">
        <v>261</v>
      </c>
      <c r="D1" s="215"/>
    </row>
    <row r="2" spans="1:5" ht="15.6" x14ac:dyDescent="0.3">
      <c r="A2" s="5" t="s">
        <v>510</v>
      </c>
      <c r="D2" s="215"/>
    </row>
    <row r="3" spans="1:5" ht="13.8" thickBot="1" x14ac:dyDescent="0.3">
      <c r="D3" s="215"/>
    </row>
    <row r="4" spans="1:5" ht="15.6" x14ac:dyDescent="0.3">
      <c r="A4" s="413" t="s">
        <v>364</v>
      </c>
      <c r="B4" s="414"/>
      <c r="C4" s="94" t="s">
        <v>483</v>
      </c>
      <c r="D4" s="356"/>
      <c r="E4" s="362" t="s">
        <v>511</v>
      </c>
    </row>
    <row r="5" spans="1:5" ht="15.6" x14ac:dyDescent="0.3">
      <c r="A5" s="60"/>
      <c r="B5" s="61"/>
      <c r="C5" s="93" t="s">
        <v>345</v>
      </c>
      <c r="D5" s="358"/>
      <c r="E5" s="363" t="s">
        <v>342</v>
      </c>
    </row>
    <row r="6" spans="1:5" ht="16.2" thickBot="1" x14ac:dyDescent="0.35">
      <c r="A6" s="13"/>
      <c r="B6" s="14"/>
      <c r="C6" s="14" t="s">
        <v>290</v>
      </c>
      <c r="D6" s="360" t="s">
        <v>493</v>
      </c>
      <c r="E6" s="364" t="s">
        <v>290</v>
      </c>
    </row>
    <row r="7" spans="1:5" ht="13.8" x14ac:dyDescent="0.25">
      <c r="A7" s="62">
        <v>72253</v>
      </c>
      <c r="B7" s="78" t="s">
        <v>37</v>
      </c>
      <c r="C7" s="25"/>
      <c r="D7" s="216"/>
      <c r="E7" s="25"/>
    </row>
    <row r="8" spans="1:5" x14ac:dyDescent="0.25">
      <c r="A8" s="20">
        <v>543500</v>
      </c>
      <c r="B8" s="26" t="s">
        <v>6</v>
      </c>
      <c r="C8" s="64">
        <v>5000</v>
      </c>
      <c r="D8" s="207"/>
      <c r="E8" s="64">
        <f>SUM(C8:D8)</f>
        <v>5000</v>
      </c>
    </row>
    <row r="9" spans="1:5" x14ac:dyDescent="0.25">
      <c r="A9" s="6"/>
      <c r="B9" s="6" t="s">
        <v>9</v>
      </c>
      <c r="C9" s="65">
        <f>SUM(C8:C8)</f>
        <v>5000</v>
      </c>
      <c r="D9" s="208">
        <f>SUM(D8:D8)</f>
        <v>0</v>
      </c>
      <c r="E9" s="65">
        <f>SUM(E8:E8)</f>
        <v>5000</v>
      </c>
    </row>
    <row r="10" spans="1:5" x14ac:dyDescent="0.25">
      <c r="A10" s="8"/>
      <c r="B10" s="8"/>
      <c r="C10" s="64"/>
      <c r="D10" s="207"/>
      <c r="E10" s="64"/>
    </row>
    <row r="11" spans="1:5" x14ac:dyDescent="0.25">
      <c r="A11" s="8"/>
      <c r="B11" s="8"/>
      <c r="C11" s="64"/>
      <c r="D11" s="207"/>
      <c r="E11" s="64"/>
    </row>
    <row r="12" spans="1:5" ht="15.6" x14ac:dyDescent="0.3">
      <c r="A12" s="12" t="s">
        <v>427</v>
      </c>
      <c r="B12" s="12"/>
      <c r="C12" s="70">
        <f>+C9</f>
        <v>5000</v>
      </c>
      <c r="D12" s="209">
        <f>+D9</f>
        <v>0</v>
      </c>
      <c r="E12" s="70">
        <f>+E9</f>
        <v>5000</v>
      </c>
    </row>
  </sheetData>
  <mergeCells count="1">
    <mergeCell ref="A4:B4"/>
  </mergeCells>
  <pageMargins left="0.75" right="0.75" top="1" bottom="1" header="0.5" footer="0.5"/>
  <pageSetup scale="77" firstPageNumber="47" orientation="portrait" useFirstPageNumber="1" r:id="rId1"/>
  <headerFooter>
    <oddFooter>&amp;C&amp;"Arial,Bold"&amp;P</oddFooter>
  </headerFooter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1"/>
  <sheetViews>
    <sheetView workbookViewId="0">
      <selection activeCell="A31" sqref="A31"/>
    </sheetView>
  </sheetViews>
  <sheetFormatPr defaultRowHeight="13.2" x14ac:dyDescent="0.25"/>
  <cols>
    <col min="1" max="1" width="11.6640625" customWidth="1"/>
    <col min="2" max="2" width="52.6640625" customWidth="1"/>
    <col min="3" max="5" width="17.6640625" customWidth="1"/>
  </cols>
  <sheetData>
    <row r="1" spans="1:5" ht="15.6" x14ac:dyDescent="0.3">
      <c r="A1" s="5" t="s">
        <v>261</v>
      </c>
      <c r="D1" s="215"/>
    </row>
    <row r="2" spans="1:5" ht="15.6" x14ac:dyDescent="0.3">
      <c r="A2" s="5" t="s">
        <v>510</v>
      </c>
      <c r="D2" s="215"/>
    </row>
    <row r="3" spans="1:5" ht="13.8" thickBot="1" x14ac:dyDescent="0.3">
      <c r="D3" s="215"/>
    </row>
    <row r="4" spans="1:5" ht="15.6" x14ac:dyDescent="0.3">
      <c r="A4" s="413" t="s">
        <v>359</v>
      </c>
      <c r="B4" s="414"/>
      <c r="C4" s="94" t="s">
        <v>483</v>
      </c>
      <c r="D4" s="356"/>
      <c r="E4" s="362" t="s">
        <v>511</v>
      </c>
    </row>
    <row r="5" spans="1:5" ht="15.6" x14ac:dyDescent="0.3">
      <c r="A5" s="60"/>
      <c r="B5" s="61"/>
      <c r="C5" s="93" t="s">
        <v>345</v>
      </c>
      <c r="D5" s="358"/>
      <c r="E5" s="363" t="s">
        <v>342</v>
      </c>
    </row>
    <row r="6" spans="1:5" ht="16.2" thickBot="1" x14ac:dyDescent="0.35">
      <c r="A6" s="13"/>
      <c r="B6" s="14"/>
      <c r="C6" s="14" t="s">
        <v>290</v>
      </c>
      <c r="D6" s="360" t="s">
        <v>493</v>
      </c>
      <c r="E6" s="364" t="s">
        <v>290</v>
      </c>
    </row>
    <row r="7" spans="1:5" ht="13.8" x14ac:dyDescent="0.25">
      <c r="A7" s="62">
        <v>72254</v>
      </c>
      <c r="B7" s="78" t="s">
        <v>37</v>
      </c>
      <c r="C7" s="25"/>
      <c r="D7" s="216"/>
      <c r="E7" s="25"/>
    </row>
    <row r="8" spans="1:5" x14ac:dyDescent="0.25">
      <c r="A8" s="57">
        <v>510500</v>
      </c>
      <c r="B8" s="26" t="s">
        <v>498</v>
      </c>
      <c r="C8" s="64">
        <v>95500</v>
      </c>
      <c r="D8" s="207">
        <v>3805</v>
      </c>
      <c r="E8" s="64">
        <f>SUM(C8:D8)</f>
        <v>99305</v>
      </c>
    </row>
    <row r="9" spans="1:5" x14ac:dyDescent="0.25">
      <c r="A9" s="71">
        <v>516800</v>
      </c>
      <c r="B9" s="42" t="s">
        <v>156</v>
      </c>
      <c r="C9" s="64">
        <v>20000</v>
      </c>
      <c r="D9" s="207"/>
      <c r="E9" s="64">
        <f>SUM(C9:D9)</f>
        <v>20000</v>
      </c>
    </row>
    <row r="10" spans="1:5" ht="13.8" x14ac:dyDescent="0.25">
      <c r="A10" s="62"/>
      <c r="B10" s="6" t="s">
        <v>102</v>
      </c>
      <c r="C10" s="65">
        <f>SUM(C8:C9)</f>
        <v>115500</v>
      </c>
      <c r="D10" s="65">
        <f>SUM(D8:D9)</f>
        <v>3805</v>
      </c>
      <c r="E10" s="65">
        <f>SUM(E8:E9)</f>
        <v>119305</v>
      </c>
    </row>
    <row r="11" spans="1:5" ht="13.8" x14ac:dyDescent="0.25">
      <c r="A11" s="62"/>
      <c r="B11" s="78"/>
      <c r="C11" s="25"/>
      <c r="D11" s="216"/>
      <c r="E11" s="25"/>
    </row>
    <row r="12" spans="1:5" x14ac:dyDescent="0.25">
      <c r="A12" s="57">
        <v>520100</v>
      </c>
      <c r="B12" s="9" t="s">
        <v>15</v>
      </c>
      <c r="C12" s="64">
        <v>7118</v>
      </c>
      <c r="D12" s="216">
        <v>292</v>
      </c>
      <c r="E12" s="64">
        <f t="shared" ref="E12:E17" si="0">SUM(C12:D12)</f>
        <v>7410</v>
      </c>
    </row>
    <row r="13" spans="1:5" x14ac:dyDescent="0.25">
      <c r="A13" s="57">
        <v>520400</v>
      </c>
      <c r="B13" s="9" t="s">
        <v>16</v>
      </c>
      <c r="C13" s="64">
        <v>8595</v>
      </c>
      <c r="D13" s="216">
        <v>370</v>
      </c>
      <c r="E13" s="64">
        <f t="shared" si="0"/>
        <v>8965</v>
      </c>
    </row>
    <row r="14" spans="1:5" x14ac:dyDescent="0.25">
      <c r="A14" s="57">
        <v>520700</v>
      </c>
      <c r="B14" s="9" t="s">
        <v>18</v>
      </c>
      <c r="C14" s="64">
        <v>4402</v>
      </c>
      <c r="D14" s="216"/>
      <c r="E14" s="64">
        <f t="shared" si="0"/>
        <v>4402</v>
      </c>
    </row>
    <row r="15" spans="1:5" x14ac:dyDescent="0.25">
      <c r="A15" s="57">
        <v>520600</v>
      </c>
      <c r="B15" s="9" t="s">
        <v>17</v>
      </c>
      <c r="C15" s="64">
        <v>59</v>
      </c>
      <c r="D15" s="216"/>
      <c r="E15" s="64">
        <f t="shared" si="0"/>
        <v>59</v>
      </c>
    </row>
    <row r="16" spans="1:5" x14ac:dyDescent="0.25">
      <c r="A16" s="57">
        <v>520800</v>
      </c>
      <c r="B16" s="9" t="s">
        <v>19</v>
      </c>
      <c r="C16" s="64">
        <v>48</v>
      </c>
      <c r="D16" s="216"/>
      <c r="E16" s="64">
        <f t="shared" si="0"/>
        <v>48</v>
      </c>
    </row>
    <row r="17" spans="1:5" x14ac:dyDescent="0.25">
      <c r="A17" s="57">
        <v>529700</v>
      </c>
      <c r="B17" s="9" t="s">
        <v>196</v>
      </c>
      <c r="C17" s="64">
        <v>1275</v>
      </c>
      <c r="D17" s="216"/>
      <c r="E17" s="64">
        <f t="shared" si="0"/>
        <v>1275</v>
      </c>
    </row>
    <row r="18" spans="1:5" ht="13.8" x14ac:dyDescent="0.25">
      <c r="A18" s="62"/>
      <c r="B18" s="6" t="s">
        <v>111</v>
      </c>
      <c r="C18" s="65">
        <f>SUM(C12:C17)</f>
        <v>21497</v>
      </c>
      <c r="D18" s="65">
        <f>SUM(D12:D17)</f>
        <v>662</v>
      </c>
      <c r="E18" s="65">
        <f>SUM(E12:E17)</f>
        <v>22159</v>
      </c>
    </row>
    <row r="19" spans="1:5" ht="13.8" x14ac:dyDescent="0.25">
      <c r="A19" s="62"/>
      <c r="B19" s="78"/>
      <c r="C19" s="25"/>
      <c r="D19" s="216"/>
      <c r="E19" s="25"/>
    </row>
    <row r="20" spans="1:5" x14ac:dyDescent="0.25">
      <c r="A20" s="57">
        <v>539900</v>
      </c>
      <c r="B20" s="9" t="s">
        <v>485</v>
      </c>
      <c r="C20" s="64">
        <v>30000</v>
      </c>
      <c r="D20" s="207"/>
      <c r="E20" s="64">
        <f>SUM(C20:D20)</f>
        <v>30000</v>
      </c>
    </row>
    <row r="21" spans="1:5" ht="13.8" x14ac:dyDescent="0.25">
      <c r="A21" s="62"/>
      <c r="B21" s="6" t="s">
        <v>4</v>
      </c>
      <c r="C21" s="65">
        <f>SUM(C20:C20)</f>
        <v>30000</v>
      </c>
      <c r="D21" s="208">
        <f>SUM(D20:D20)</f>
        <v>0</v>
      </c>
      <c r="E21" s="65">
        <f>SUM(E20:E20)</f>
        <v>30000</v>
      </c>
    </row>
    <row r="22" spans="1:5" ht="13.8" x14ac:dyDescent="0.25">
      <c r="A22" s="62"/>
      <c r="B22" s="78"/>
      <c r="C22" s="25"/>
      <c r="D22" s="216"/>
      <c r="E22" s="25"/>
    </row>
    <row r="23" spans="1:5" x14ac:dyDescent="0.25">
      <c r="A23" s="20">
        <v>543500</v>
      </c>
      <c r="B23" s="26" t="s">
        <v>6</v>
      </c>
      <c r="C23" s="64">
        <v>15000</v>
      </c>
      <c r="D23" s="207" t="s">
        <v>291</v>
      </c>
      <c r="E23" s="64">
        <f>SUM(C23:D23)</f>
        <v>15000</v>
      </c>
    </row>
    <row r="24" spans="1:5" x14ac:dyDescent="0.25">
      <c r="A24" s="6"/>
      <c r="B24" s="6" t="s">
        <v>9</v>
      </c>
      <c r="C24" s="65">
        <f>SUM(C23:C23)</f>
        <v>15000</v>
      </c>
      <c r="D24" s="208">
        <f>SUM(D23:D23)</f>
        <v>0</v>
      </c>
      <c r="E24" s="65">
        <f>SUM(E23:E23)</f>
        <v>15000</v>
      </c>
    </row>
    <row r="25" spans="1:5" x14ac:dyDescent="0.25">
      <c r="A25" s="8"/>
      <c r="B25" s="8"/>
      <c r="C25" s="64"/>
      <c r="D25" s="207"/>
      <c r="E25" s="64"/>
    </row>
    <row r="26" spans="1:5" x14ac:dyDescent="0.25">
      <c r="A26" s="8"/>
      <c r="B26" s="8"/>
      <c r="C26" s="64"/>
      <c r="D26" s="207"/>
      <c r="E26" s="64"/>
    </row>
    <row r="27" spans="1:5" ht="15.6" x14ac:dyDescent="0.3">
      <c r="A27" s="12" t="s">
        <v>361</v>
      </c>
      <c r="B27" s="12"/>
      <c r="C27" s="70">
        <f>+C21+C24+C18+C10</f>
        <v>181997</v>
      </c>
      <c r="D27" s="70">
        <f>+D21+D24+D18+D10</f>
        <v>4467</v>
      </c>
      <c r="E27" s="70">
        <f>+E21+E24+E18+E10</f>
        <v>186464</v>
      </c>
    </row>
    <row r="30" spans="1:5" x14ac:dyDescent="0.25">
      <c r="A30" s="92"/>
    </row>
    <row r="31" spans="1:5" x14ac:dyDescent="0.25">
      <c r="A31" s="92"/>
    </row>
  </sheetData>
  <mergeCells count="1">
    <mergeCell ref="A4:B4"/>
  </mergeCells>
  <pageMargins left="0.75" right="0.75" top="1" bottom="1" header="0.5" footer="0.5"/>
  <pageSetup scale="77" firstPageNumber="48" orientation="portrait" useFirstPageNumber="1" r:id="rId1"/>
  <headerFooter>
    <oddFooter>&amp;C&amp;"Arial,Bold"&amp;P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1"/>
  <sheetViews>
    <sheetView workbookViewId="0">
      <selection activeCell="D9" sqref="D9"/>
    </sheetView>
  </sheetViews>
  <sheetFormatPr defaultRowHeight="13.2" x14ac:dyDescent="0.25"/>
  <cols>
    <col min="1" max="1" width="11.6640625" customWidth="1"/>
    <col min="2" max="2" width="53.44140625" customWidth="1"/>
    <col min="3" max="3" width="17.6640625" customWidth="1"/>
    <col min="4" max="4" width="16.109375" style="215" customWidth="1"/>
    <col min="5" max="5" width="16.6640625" style="56" customWidth="1"/>
    <col min="6" max="6" width="13.33203125" customWidth="1"/>
  </cols>
  <sheetData>
    <row r="1" spans="1:5" ht="15.6" x14ac:dyDescent="0.3">
      <c r="A1" s="5" t="s">
        <v>261</v>
      </c>
    </row>
    <row r="2" spans="1:5" ht="15.6" x14ac:dyDescent="0.3">
      <c r="A2" s="5" t="s">
        <v>510</v>
      </c>
    </row>
    <row r="3" spans="1:5" ht="13.8" thickBot="1" x14ac:dyDescent="0.3"/>
    <row r="4" spans="1:5" ht="15.6" x14ac:dyDescent="0.3">
      <c r="A4" s="413" t="s">
        <v>36</v>
      </c>
      <c r="B4" s="414"/>
      <c r="C4" s="94" t="s">
        <v>483</v>
      </c>
      <c r="D4" s="356"/>
      <c r="E4" s="357" t="s">
        <v>511</v>
      </c>
    </row>
    <row r="5" spans="1:5" ht="15.6" x14ac:dyDescent="0.3">
      <c r="A5" s="60"/>
      <c r="B5" s="61"/>
      <c r="C5" s="93" t="s">
        <v>345</v>
      </c>
      <c r="D5" s="358"/>
      <c r="E5" s="359" t="s">
        <v>342</v>
      </c>
    </row>
    <row r="6" spans="1:5" ht="16.2" thickBot="1" x14ac:dyDescent="0.35">
      <c r="A6" s="13"/>
      <c r="B6" s="14"/>
      <c r="C6" s="14" t="s">
        <v>290</v>
      </c>
      <c r="D6" s="360" t="s">
        <v>493</v>
      </c>
      <c r="E6" s="361" t="s">
        <v>290</v>
      </c>
    </row>
    <row r="7" spans="1:5" ht="13.8" x14ac:dyDescent="0.25">
      <c r="A7" s="62">
        <v>71100</v>
      </c>
      <c r="B7" s="78" t="s">
        <v>32</v>
      </c>
      <c r="C7" s="25"/>
      <c r="D7" s="216"/>
      <c r="E7" s="296"/>
    </row>
    <row r="8" spans="1:5" x14ac:dyDescent="0.25">
      <c r="A8" s="71">
        <v>511600</v>
      </c>
      <c r="B8" s="42" t="s">
        <v>93</v>
      </c>
      <c r="C8" s="64">
        <v>152536550</v>
      </c>
      <c r="D8" s="207">
        <f>-5+4953038-4467+1232-232+1100+2+357+18+697519+11649-3876856+4</f>
        <v>1783359</v>
      </c>
      <c r="E8" s="117">
        <f>SUM(C8:D8)</f>
        <v>154319909</v>
      </c>
    </row>
    <row r="9" spans="1:5" x14ac:dyDescent="0.25">
      <c r="A9" s="71">
        <v>512800</v>
      </c>
      <c r="B9" s="42" t="s">
        <v>155</v>
      </c>
      <c r="C9" s="64">
        <v>238933</v>
      </c>
      <c r="D9" s="207">
        <f>1093+5468-5437</f>
        <v>1124</v>
      </c>
      <c r="E9" s="117">
        <f t="shared" ref="E9:E15" si="0">SUM(C9:D9)</f>
        <v>240057</v>
      </c>
    </row>
    <row r="10" spans="1:5" x14ac:dyDescent="0.25">
      <c r="A10" s="71">
        <v>516300</v>
      </c>
      <c r="B10" s="42" t="s">
        <v>107</v>
      </c>
      <c r="C10" s="64">
        <v>3951108</v>
      </c>
      <c r="D10" s="207">
        <f>-29912+53959</f>
        <v>24047</v>
      </c>
      <c r="E10" s="117">
        <f t="shared" si="0"/>
        <v>3975155</v>
      </c>
    </row>
    <row r="11" spans="1:5" x14ac:dyDescent="0.25">
      <c r="A11" s="71">
        <v>511700</v>
      </c>
      <c r="B11" s="42" t="s">
        <v>108</v>
      </c>
      <c r="C11" s="64">
        <v>1720390</v>
      </c>
      <c r="D11" s="207"/>
      <c r="E11" s="117">
        <f t="shared" si="0"/>
        <v>1720390</v>
      </c>
    </row>
    <row r="12" spans="1:5" x14ac:dyDescent="0.25">
      <c r="A12" s="71">
        <v>512700</v>
      </c>
      <c r="B12" s="42" t="s">
        <v>109</v>
      </c>
      <c r="C12" s="64">
        <v>596738</v>
      </c>
      <c r="D12" s="207"/>
      <c r="E12" s="117">
        <f t="shared" si="0"/>
        <v>596738</v>
      </c>
    </row>
    <row r="13" spans="1:5" x14ac:dyDescent="0.25">
      <c r="A13" s="71">
        <v>516800</v>
      </c>
      <c r="B13" s="42" t="s">
        <v>156</v>
      </c>
      <c r="C13" s="64">
        <v>5000</v>
      </c>
      <c r="D13" s="207"/>
      <c r="E13" s="117">
        <f t="shared" si="0"/>
        <v>5000</v>
      </c>
    </row>
    <row r="14" spans="1:5" x14ac:dyDescent="0.25">
      <c r="A14" s="71">
        <v>519500</v>
      </c>
      <c r="B14" s="42" t="s">
        <v>33</v>
      </c>
      <c r="C14" s="64">
        <v>1105140</v>
      </c>
      <c r="D14" s="207"/>
      <c r="E14" s="117">
        <f t="shared" si="0"/>
        <v>1105140</v>
      </c>
    </row>
    <row r="15" spans="1:5" x14ac:dyDescent="0.25">
      <c r="A15" s="71">
        <v>518975</v>
      </c>
      <c r="B15" s="42" t="s">
        <v>40</v>
      </c>
      <c r="C15" s="64">
        <v>90997</v>
      </c>
      <c r="D15" s="207">
        <f>416+2082-2071</f>
        <v>427</v>
      </c>
      <c r="E15" s="117">
        <f t="shared" si="0"/>
        <v>91424</v>
      </c>
    </row>
    <row r="16" spans="1:5" s="1" customFormat="1" x14ac:dyDescent="0.25">
      <c r="A16" s="43"/>
      <c r="B16" s="43" t="s">
        <v>102</v>
      </c>
      <c r="C16" s="65">
        <f>SUM(C8:C15)</f>
        <v>160244856</v>
      </c>
      <c r="D16" s="208">
        <f>SUM(D8:D15)</f>
        <v>1808957</v>
      </c>
      <c r="E16" s="118">
        <f>SUM(E8:E15)</f>
        <v>162053813</v>
      </c>
    </row>
    <row r="17" spans="1:7" x14ac:dyDescent="0.25">
      <c r="A17" s="72"/>
      <c r="B17" s="44"/>
      <c r="C17" s="64"/>
      <c r="D17" s="207"/>
      <c r="E17" s="117"/>
    </row>
    <row r="18" spans="1:7" x14ac:dyDescent="0.25">
      <c r="A18" s="72">
        <v>520200</v>
      </c>
      <c r="B18" s="44" t="s">
        <v>157</v>
      </c>
      <c r="C18" s="64">
        <v>750000</v>
      </c>
      <c r="D18" s="207"/>
      <c r="E18" s="117">
        <f t="shared" ref="E18:E24" si="1">SUM(C18:D18)</f>
        <v>750000</v>
      </c>
    </row>
    <row r="19" spans="1:7" x14ac:dyDescent="0.25">
      <c r="A19" s="72">
        <v>520100</v>
      </c>
      <c r="B19" s="26" t="s">
        <v>15</v>
      </c>
      <c r="C19" s="64">
        <v>11887257</v>
      </c>
      <c r="D19" s="207">
        <f>54358+519004-306486-121</f>
        <v>266755</v>
      </c>
      <c r="E19" s="117">
        <f t="shared" si="1"/>
        <v>12154012</v>
      </c>
    </row>
    <row r="20" spans="1:7" x14ac:dyDescent="0.25">
      <c r="A20" s="72">
        <v>521100</v>
      </c>
      <c r="B20" s="44" t="s">
        <v>20</v>
      </c>
      <c r="C20" s="64">
        <v>2375345</v>
      </c>
      <c r="D20" s="207">
        <f>-13293+25309-97</f>
        <v>11919</v>
      </c>
      <c r="E20" s="117">
        <f t="shared" si="1"/>
        <v>2387264</v>
      </c>
    </row>
    <row r="21" spans="1:7" x14ac:dyDescent="0.25">
      <c r="A21" s="72">
        <v>520400</v>
      </c>
      <c r="B21" s="44" t="s">
        <v>16</v>
      </c>
      <c r="C21" s="64">
        <v>14111940</v>
      </c>
      <c r="D21" s="207">
        <f>64531+821248-363107</f>
        <v>522672</v>
      </c>
      <c r="E21" s="117">
        <f t="shared" si="1"/>
        <v>14634612</v>
      </c>
    </row>
    <row r="22" spans="1:7" x14ac:dyDescent="0.25">
      <c r="A22" s="72">
        <v>520700</v>
      </c>
      <c r="B22" s="44" t="s">
        <v>18</v>
      </c>
      <c r="C22" s="64">
        <v>14600876</v>
      </c>
      <c r="D22" s="207">
        <f>-21000+211000</f>
        <v>190000</v>
      </c>
      <c r="E22" s="117">
        <f t="shared" si="1"/>
        <v>14790876</v>
      </c>
      <c r="F22" s="56"/>
    </row>
    <row r="23" spans="1:7" x14ac:dyDescent="0.25">
      <c r="A23" s="72">
        <v>520600</v>
      </c>
      <c r="B23" s="44" t="s">
        <v>17</v>
      </c>
      <c r="C23" s="64">
        <v>254995</v>
      </c>
      <c r="D23" s="207"/>
      <c r="E23" s="117">
        <f t="shared" si="1"/>
        <v>254995</v>
      </c>
    </row>
    <row r="24" spans="1:7" x14ac:dyDescent="0.25">
      <c r="A24" s="72">
        <v>520800</v>
      </c>
      <c r="B24" s="44" t="s">
        <v>19</v>
      </c>
      <c r="C24" s="64">
        <v>81170</v>
      </c>
      <c r="D24" s="207"/>
      <c r="E24" s="117">
        <f t="shared" si="1"/>
        <v>81170</v>
      </c>
    </row>
    <row r="25" spans="1:7" x14ac:dyDescent="0.25">
      <c r="A25" s="43"/>
      <c r="B25" s="43" t="s">
        <v>111</v>
      </c>
      <c r="C25" s="65">
        <f>SUM(C18:C24)</f>
        <v>44061583</v>
      </c>
      <c r="D25" s="208">
        <f>SUM(D18:D24)</f>
        <v>991346</v>
      </c>
      <c r="E25" s="118">
        <f>SUM(E18:E24)</f>
        <v>45052929</v>
      </c>
      <c r="G25" s="56"/>
    </row>
    <row r="26" spans="1:7" x14ac:dyDescent="0.25">
      <c r="A26" s="72"/>
      <c r="B26" s="44"/>
      <c r="C26" s="64"/>
      <c r="D26" s="207"/>
      <c r="E26" s="117"/>
    </row>
    <row r="27" spans="1:7" x14ac:dyDescent="0.25">
      <c r="A27" s="72">
        <v>544900</v>
      </c>
      <c r="B27" s="26" t="s">
        <v>30</v>
      </c>
      <c r="C27" s="64">
        <v>733300</v>
      </c>
      <c r="D27" s="207">
        <v>75000</v>
      </c>
      <c r="E27" s="117">
        <f>SUM(C27:D27)</f>
        <v>808300</v>
      </c>
    </row>
    <row r="28" spans="1:7" x14ac:dyDescent="0.25">
      <c r="A28" s="44"/>
      <c r="B28" s="43" t="s">
        <v>9</v>
      </c>
      <c r="C28" s="65">
        <f>SUM(C27)</f>
        <v>733300</v>
      </c>
      <c r="D28" s="208">
        <f>SUM(D27)</f>
        <v>75000</v>
      </c>
      <c r="E28" s="118">
        <f>SUM(E27)</f>
        <v>808300</v>
      </c>
    </row>
    <row r="29" spans="1:7" x14ac:dyDescent="0.25">
      <c r="A29" s="44"/>
      <c r="B29" s="43"/>
      <c r="C29" s="64"/>
      <c r="D29" s="207"/>
      <c r="E29" s="117"/>
    </row>
    <row r="30" spans="1:7" x14ac:dyDescent="0.25">
      <c r="A30" s="9"/>
      <c r="B30" s="9"/>
      <c r="C30" s="64"/>
      <c r="D30" s="207"/>
      <c r="E30" s="117"/>
    </row>
    <row r="31" spans="1:7" s="23" customFormat="1" ht="15.6" x14ac:dyDescent="0.3">
      <c r="A31" s="12" t="s">
        <v>451</v>
      </c>
      <c r="B31" s="12"/>
      <c r="C31" s="70">
        <f>SUM(C16+C25+C28)</f>
        <v>205039739</v>
      </c>
      <c r="D31" s="209">
        <f>SUM(D16+D25+D28)</f>
        <v>2875303</v>
      </c>
      <c r="E31" s="297">
        <f>SUM(E16+E25+E28)</f>
        <v>207915042</v>
      </c>
    </row>
  </sheetData>
  <mergeCells count="1">
    <mergeCell ref="A4:B4"/>
  </mergeCells>
  <phoneticPr fontId="0" type="noConversion"/>
  <printOptions horizontalCentered="1"/>
  <pageMargins left="0.75" right="0.75" top="1" bottom="1" header="0.5" footer="0.5"/>
  <pageSetup scale="78" firstPageNumber="4" orientation="portrait" useFirstPageNumber="1" r:id="rId1"/>
  <headerFooter alignWithMargins="0">
    <oddFooter>&amp;C&amp;"Arial,Bold"&amp;P</oddFooter>
  </headerFooter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9"/>
  <sheetViews>
    <sheetView workbookViewId="0">
      <selection activeCell="A3" sqref="A3"/>
    </sheetView>
  </sheetViews>
  <sheetFormatPr defaultRowHeight="13.2" x14ac:dyDescent="0.25"/>
  <cols>
    <col min="1" max="1" width="11.6640625" customWidth="1"/>
    <col min="2" max="2" width="52.6640625" customWidth="1"/>
    <col min="3" max="5" width="17.6640625" customWidth="1"/>
  </cols>
  <sheetData>
    <row r="1" spans="1:5" ht="15.6" x14ac:dyDescent="0.3">
      <c r="A1" s="5" t="s">
        <v>261</v>
      </c>
      <c r="D1" s="90"/>
    </row>
    <row r="2" spans="1:5" ht="15.6" x14ac:dyDescent="0.3">
      <c r="A2" s="5" t="s">
        <v>510</v>
      </c>
      <c r="D2" s="90"/>
    </row>
    <row r="3" spans="1:5" ht="13.8" thickBot="1" x14ac:dyDescent="0.3">
      <c r="D3" s="90"/>
    </row>
    <row r="4" spans="1:5" ht="15.6" x14ac:dyDescent="0.3">
      <c r="A4" s="413" t="s">
        <v>365</v>
      </c>
      <c r="B4" s="414"/>
      <c r="C4" s="94" t="s">
        <v>483</v>
      </c>
      <c r="D4" s="356"/>
      <c r="E4" s="362" t="s">
        <v>511</v>
      </c>
    </row>
    <row r="5" spans="1:5" ht="15.6" x14ac:dyDescent="0.3">
      <c r="A5" s="60"/>
      <c r="B5" s="61"/>
      <c r="C5" s="93" t="s">
        <v>345</v>
      </c>
      <c r="D5" s="358"/>
      <c r="E5" s="363" t="s">
        <v>342</v>
      </c>
    </row>
    <row r="6" spans="1:5" ht="16.2" thickBot="1" x14ac:dyDescent="0.35">
      <c r="A6" s="13"/>
      <c r="B6" s="14"/>
      <c r="C6" s="14" t="s">
        <v>290</v>
      </c>
      <c r="D6" s="360" t="s">
        <v>493</v>
      </c>
      <c r="E6" s="364" t="s">
        <v>290</v>
      </c>
    </row>
    <row r="7" spans="1:5" ht="13.8" x14ac:dyDescent="0.25">
      <c r="A7" s="62">
        <v>72255</v>
      </c>
      <c r="B7" s="78" t="s">
        <v>362</v>
      </c>
      <c r="C7" s="25"/>
      <c r="D7" s="102"/>
      <c r="E7" s="25"/>
    </row>
    <row r="8" spans="1:5" x14ac:dyDescent="0.25">
      <c r="A8" s="20">
        <v>535500</v>
      </c>
      <c r="B8" s="26" t="s">
        <v>2</v>
      </c>
      <c r="C8" s="66">
        <v>2000</v>
      </c>
      <c r="D8" s="66"/>
      <c r="E8" s="66">
        <f>SUM(C8:D8)</f>
        <v>2000</v>
      </c>
    </row>
    <row r="9" spans="1:5" x14ac:dyDescent="0.25">
      <c r="A9" s="6"/>
      <c r="B9" s="6" t="s">
        <v>4</v>
      </c>
      <c r="C9" s="65">
        <f>SUM(C8:C8)</f>
        <v>2000</v>
      </c>
      <c r="D9" s="65">
        <f>SUM(D8:D8)</f>
        <v>0</v>
      </c>
      <c r="E9" s="65">
        <f>SUM(E8:E8)</f>
        <v>2000</v>
      </c>
    </row>
    <row r="10" spans="1:5" x14ac:dyDescent="0.25">
      <c r="A10" s="20"/>
      <c r="B10" s="26"/>
      <c r="C10" s="66"/>
      <c r="D10" s="66"/>
      <c r="E10" s="66"/>
    </row>
    <row r="11" spans="1:5" x14ac:dyDescent="0.25">
      <c r="A11" s="20">
        <v>542900</v>
      </c>
      <c r="B11" s="26" t="s">
        <v>28</v>
      </c>
      <c r="C11" s="66">
        <v>700</v>
      </c>
      <c r="D11" s="66"/>
      <c r="E11" s="66">
        <f>SUM(C11:D11)</f>
        <v>700</v>
      </c>
    </row>
    <row r="12" spans="1:5" x14ac:dyDescent="0.25">
      <c r="A12" s="20">
        <v>543500</v>
      </c>
      <c r="B12" s="26" t="s">
        <v>6</v>
      </c>
      <c r="C12" s="66">
        <v>1800</v>
      </c>
      <c r="D12" s="66"/>
      <c r="E12" s="66">
        <f>SUM(C12:D12)</f>
        <v>1800</v>
      </c>
    </row>
    <row r="13" spans="1:5" x14ac:dyDescent="0.25">
      <c r="A13" s="6"/>
      <c r="B13" s="6" t="s">
        <v>9</v>
      </c>
      <c r="C13" s="65">
        <f>SUM(C11:C12)</f>
        <v>2500</v>
      </c>
      <c r="D13" s="65">
        <f>SUM(D11:D12)</f>
        <v>0</v>
      </c>
      <c r="E13" s="65">
        <f>SUM(E11:E12)</f>
        <v>2500</v>
      </c>
    </row>
    <row r="14" spans="1:5" x14ac:dyDescent="0.25">
      <c r="A14" s="20"/>
      <c r="B14" s="26"/>
      <c r="C14" s="66"/>
      <c r="D14" s="66"/>
      <c r="E14" s="66"/>
    </row>
    <row r="15" spans="1:5" x14ac:dyDescent="0.25">
      <c r="A15" s="20">
        <v>552400</v>
      </c>
      <c r="B15" s="26" t="s">
        <v>11</v>
      </c>
      <c r="C15" s="66">
        <v>500</v>
      </c>
      <c r="D15" s="66"/>
      <c r="E15" s="66">
        <f>SUM(C15:D15)</f>
        <v>500</v>
      </c>
    </row>
    <row r="16" spans="1:5" x14ac:dyDescent="0.25">
      <c r="A16" s="26"/>
      <c r="B16" s="6" t="s">
        <v>12</v>
      </c>
      <c r="C16" s="65">
        <f>SUM(C15)</f>
        <v>500</v>
      </c>
      <c r="D16" s="65">
        <f>SUM(D15)</f>
        <v>0</v>
      </c>
      <c r="E16" s="65">
        <f>SUM(E15)</f>
        <v>500</v>
      </c>
    </row>
    <row r="17" spans="1:5" x14ac:dyDescent="0.25">
      <c r="A17" s="9"/>
      <c r="B17" s="9"/>
      <c r="C17" s="64"/>
      <c r="D17" s="66"/>
      <c r="E17" s="64"/>
    </row>
    <row r="18" spans="1:5" x14ac:dyDescent="0.25">
      <c r="A18" s="9"/>
      <c r="B18" s="9"/>
      <c r="C18" s="64"/>
      <c r="D18" s="66"/>
      <c r="E18" s="64"/>
    </row>
    <row r="19" spans="1:5" ht="15.6" x14ac:dyDescent="0.3">
      <c r="A19" s="12" t="s">
        <v>363</v>
      </c>
      <c r="B19" s="12"/>
      <c r="C19" s="70">
        <f>+C16+C13+C9</f>
        <v>5000</v>
      </c>
      <c r="D19" s="70">
        <f>+D16+D13+D9</f>
        <v>0</v>
      </c>
      <c r="E19" s="70">
        <f>+E16+E13+E9</f>
        <v>5000</v>
      </c>
    </row>
  </sheetData>
  <mergeCells count="1">
    <mergeCell ref="A4:B4"/>
  </mergeCells>
  <pageMargins left="0.75" right="0.75" top="1" bottom="1" header="0.5" footer="0.5"/>
  <pageSetup scale="77" firstPageNumber="49" orientation="portrait" useFirstPageNumber="1" r:id="rId1"/>
  <headerFooter>
    <oddFooter>&amp;C&amp;"Arial,Bold"&amp;P</oddFooter>
  </headerFooter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E34"/>
  <sheetViews>
    <sheetView workbookViewId="0">
      <selection activeCell="D16" sqref="D16"/>
    </sheetView>
  </sheetViews>
  <sheetFormatPr defaultRowHeight="13.2" x14ac:dyDescent="0.25"/>
  <cols>
    <col min="1" max="1" width="11.6640625" customWidth="1"/>
    <col min="2" max="2" width="52.6640625" customWidth="1"/>
    <col min="3" max="3" width="17.6640625" customWidth="1"/>
    <col min="4" max="4" width="17.6640625" style="215" customWidth="1"/>
    <col min="5" max="6" width="17.6640625" customWidth="1"/>
  </cols>
  <sheetData>
    <row r="1" spans="1:5" ht="15.6" x14ac:dyDescent="0.3">
      <c r="A1" s="5" t="s">
        <v>261</v>
      </c>
    </row>
    <row r="2" spans="1:5" ht="15.6" x14ac:dyDescent="0.3">
      <c r="A2" s="5" t="s">
        <v>510</v>
      </c>
    </row>
    <row r="3" spans="1:5" ht="13.8" thickBot="1" x14ac:dyDescent="0.3"/>
    <row r="4" spans="1:5" ht="15.6" x14ac:dyDescent="0.3">
      <c r="A4" s="413" t="s">
        <v>197</v>
      </c>
      <c r="B4" s="414"/>
      <c r="C4" s="94" t="s">
        <v>483</v>
      </c>
      <c r="D4" s="356"/>
      <c r="E4" s="362" t="s">
        <v>511</v>
      </c>
    </row>
    <row r="5" spans="1:5" ht="15.6" x14ac:dyDescent="0.3">
      <c r="A5" s="60"/>
      <c r="B5" s="61"/>
      <c r="C5" s="93" t="s">
        <v>345</v>
      </c>
      <c r="D5" s="358"/>
      <c r="E5" s="363" t="s">
        <v>342</v>
      </c>
    </row>
    <row r="6" spans="1:5" ht="16.2" thickBot="1" x14ac:dyDescent="0.35">
      <c r="A6" s="13"/>
      <c r="B6" s="14"/>
      <c r="C6" s="14" t="s">
        <v>290</v>
      </c>
      <c r="D6" s="360" t="s">
        <v>493</v>
      </c>
      <c r="E6" s="364" t="s">
        <v>290</v>
      </c>
    </row>
    <row r="7" spans="1:5" ht="13.8" x14ac:dyDescent="0.25">
      <c r="A7" s="62">
        <v>72110</v>
      </c>
      <c r="B7" s="78" t="s">
        <v>267</v>
      </c>
      <c r="C7" s="25"/>
      <c r="D7" s="216"/>
      <c r="E7" s="25"/>
    </row>
    <row r="8" spans="1:5" x14ac:dyDescent="0.25">
      <c r="A8" s="20">
        <v>513000</v>
      </c>
      <c r="B8" s="26" t="s">
        <v>193</v>
      </c>
      <c r="C8" s="66">
        <v>1295580</v>
      </c>
      <c r="D8" s="207">
        <f>5924+29649-32038</f>
        <v>3535</v>
      </c>
      <c r="E8" s="66">
        <f>SUM(C8:D8)</f>
        <v>1299115</v>
      </c>
    </row>
    <row r="9" spans="1:5" x14ac:dyDescent="0.25">
      <c r="A9" s="20">
        <v>516200</v>
      </c>
      <c r="B9" s="26" t="s">
        <v>14</v>
      </c>
      <c r="C9" s="66">
        <v>38482</v>
      </c>
      <c r="D9" s="207">
        <f>-291+396</f>
        <v>105</v>
      </c>
      <c r="E9" s="66">
        <f>SUM(C9:D9)</f>
        <v>38587</v>
      </c>
    </row>
    <row r="10" spans="1:5" x14ac:dyDescent="0.25">
      <c r="A10" s="20">
        <v>511700</v>
      </c>
      <c r="B10" s="26" t="s">
        <v>108</v>
      </c>
      <c r="C10" s="66">
        <v>12000</v>
      </c>
      <c r="D10" s="207"/>
      <c r="E10" s="66">
        <f>SUM(C10:D10)</f>
        <v>12000</v>
      </c>
    </row>
    <row r="11" spans="1:5" x14ac:dyDescent="0.25">
      <c r="A11" s="6"/>
      <c r="B11" s="6" t="s">
        <v>102</v>
      </c>
      <c r="C11" s="65">
        <f>SUM(C8:C10)</f>
        <v>1346062</v>
      </c>
      <c r="D11" s="208">
        <f>SUM(D8:D10)</f>
        <v>3640</v>
      </c>
      <c r="E11" s="65">
        <f>SUM(E8:E10)</f>
        <v>1349702</v>
      </c>
    </row>
    <row r="12" spans="1:5" x14ac:dyDescent="0.25">
      <c r="A12" s="20"/>
      <c r="B12" s="26"/>
      <c r="C12" s="66"/>
      <c r="D12" s="207"/>
      <c r="E12" s="66"/>
    </row>
    <row r="13" spans="1:5" x14ac:dyDescent="0.25">
      <c r="A13" s="20">
        <v>520200</v>
      </c>
      <c r="B13" s="26" t="s">
        <v>157</v>
      </c>
      <c r="C13" s="66">
        <v>12000</v>
      </c>
      <c r="D13" s="207"/>
      <c r="E13" s="66">
        <f t="shared" ref="E13:E20" si="0">SUM(C13:D13)</f>
        <v>12000</v>
      </c>
    </row>
    <row r="14" spans="1:5" x14ac:dyDescent="0.25">
      <c r="A14" s="20">
        <v>520100</v>
      </c>
      <c r="B14" s="26" t="s">
        <v>199</v>
      </c>
      <c r="C14" s="66">
        <v>97264</v>
      </c>
      <c r="D14" s="207">
        <f>445+2226-2213</f>
        <v>458</v>
      </c>
      <c r="E14" s="66">
        <f t="shared" si="0"/>
        <v>97722</v>
      </c>
    </row>
    <row r="15" spans="1:5" x14ac:dyDescent="0.25">
      <c r="A15" s="20">
        <v>521100</v>
      </c>
      <c r="B15" s="26" t="s">
        <v>20</v>
      </c>
      <c r="C15" s="66">
        <v>8110</v>
      </c>
      <c r="D15" s="207">
        <f>-45+84</f>
        <v>39</v>
      </c>
      <c r="E15" s="66">
        <f t="shared" si="0"/>
        <v>8149</v>
      </c>
    </row>
    <row r="16" spans="1:5" x14ac:dyDescent="0.25">
      <c r="A16" s="20">
        <v>520400</v>
      </c>
      <c r="B16" s="26" t="s">
        <v>16</v>
      </c>
      <c r="C16" s="66">
        <v>119374</v>
      </c>
      <c r="D16" s="207">
        <f>546+4736-2716</f>
        <v>2566</v>
      </c>
      <c r="E16" s="66">
        <f t="shared" si="0"/>
        <v>121940</v>
      </c>
    </row>
    <row r="17" spans="1:5" x14ac:dyDescent="0.25">
      <c r="A17" s="20">
        <v>520700</v>
      </c>
      <c r="B17" s="26" t="s">
        <v>18</v>
      </c>
      <c r="C17" s="66">
        <v>152291</v>
      </c>
      <c r="D17" s="207"/>
      <c r="E17" s="66">
        <f t="shared" si="0"/>
        <v>152291</v>
      </c>
    </row>
    <row r="18" spans="1:5" x14ac:dyDescent="0.25">
      <c r="A18" s="20">
        <v>520600</v>
      </c>
      <c r="B18" s="26" t="s">
        <v>17</v>
      </c>
      <c r="C18" s="66">
        <v>2010</v>
      </c>
      <c r="D18" s="207"/>
      <c r="E18" s="66">
        <f t="shared" si="0"/>
        <v>2010</v>
      </c>
    </row>
    <row r="19" spans="1:5" x14ac:dyDescent="0.25">
      <c r="A19" s="20">
        <v>520800</v>
      </c>
      <c r="B19" s="26" t="s">
        <v>19</v>
      </c>
      <c r="C19" s="66">
        <v>785</v>
      </c>
      <c r="D19" s="207"/>
      <c r="E19" s="66">
        <f t="shared" si="0"/>
        <v>785</v>
      </c>
    </row>
    <row r="20" spans="1:5" x14ac:dyDescent="0.25">
      <c r="A20" s="20">
        <v>529700</v>
      </c>
      <c r="B20" s="26" t="s">
        <v>196</v>
      </c>
      <c r="C20" s="66">
        <v>22415</v>
      </c>
      <c r="D20" s="207"/>
      <c r="E20" s="66">
        <f t="shared" si="0"/>
        <v>22415</v>
      </c>
    </row>
    <row r="21" spans="1:5" x14ac:dyDescent="0.25">
      <c r="A21" s="6"/>
      <c r="B21" s="6" t="s">
        <v>111</v>
      </c>
      <c r="C21" s="65">
        <f>SUM(C13:C20)</f>
        <v>414249</v>
      </c>
      <c r="D21" s="208">
        <f>SUM(D13:D20)</f>
        <v>3063</v>
      </c>
      <c r="E21" s="65">
        <f>SUM(E13:E20)</f>
        <v>417312</v>
      </c>
    </row>
    <row r="22" spans="1:5" x14ac:dyDescent="0.25">
      <c r="A22" s="20"/>
      <c r="B22" s="26"/>
      <c r="C22" s="66"/>
      <c r="D22" s="207"/>
      <c r="E22" s="66"/>
    </row>
    <row r="23" spans="1:5" x14ac:dyDescent="0.25">
      <c r="A23" s="20">
        <v>530700</v>
      </c>
      <c r="B23" s="26" t="s">
        <v>1</v>
      </c>
      <c r="C23" s="66">
        <v>10000</v>
      </c>
      <c r="D23" s="207"/>
      <c r="E23" s="66">
        <f>SUM(C23:D23)</f>
        <v>10000</v>
      </c>
    </row>
    <row r="24" spans="1:5" x14ac:dyDescent="0.25">
      <c r="A24" s="6"/>
      <c r="B24" s="6" t="s">
        <v>4</v>
      </c>
      <c r="C24" s="65">
        <f>SUM(C23:C23)</f>
        <v>10000</v>
      </c>
      <c r="D24" s="208">
        <f>SUM(D23:D23)</f>
        <v>0</v>
      </c>
      <c r="E24" s="65">
        <f>SUM(E23:E23)</f>
        <v>10000</v>
      </c>
    </row>
    <row r="25" spans="1:5" x14ac:dyDescent="0.25">
      <c r="A25" s="20"/>
      <c r="B25" s="26"/>
      <c r="C25" s="66"/>
      <c r="D25" s="207"/>
      <c r="E25" s="66"/>
    </row>
    <row r="26" spans="1:5" x14ac:dyDescent="0.25">
      <c r="A26" s="20">
        <v>542200</v>
      </c>
      <c r="B26" s="26" t="s">
        <v>25</v>
      </c>
      <c r="C26" s="66">
        <v>125</v>
      </c>
      <c r="D26" s="207"/>
      <c r="E26" s="66">
        <f>SUM(C26:D26)</f>
        <v>125</v>
      </c>
    </row>
    <row r="27" spans="1:5" x14ac:dyDescent="0.25">
      <c r="A27" s="20">
        <v>543500</v>
      </c>
      <c r="B27" s="26" t="s">
        <v>6</v>
      </c>
      <c r="C27" s="66">
        <v>1000</v>
      </c>
      <c r="D27" s="207"/>
      <c r="E27" s="66">
        <f>SUM(C27:D27)</f>
        <v>1000</v>
      </c>
    </row>
    <row r="28" spans="1:5" x14ac:dyDescent="0.25">
      <c r="A28" s="6"/>
      <c r="B28" s="6" t="s">
        <v>9</v>
      </c>
      <c r="C28" s="65">
        <f>SUM(C26:C27)</f>
        <v>1125</v>
      </c>
      <c r="D28" s="208">
        <f>SUM(D26:D27)</f>
        <v>0</v>
      </c>
      <c r="E28" s="65">
        <f>SUM(E26:E27)</f>
        <v>1125</v>
      </c>
    </row>
    <row r="29" spans="1:5" x14ac:dyDescent="0.25">
      <c r="A29" s="20"/>
      <c r="B29" s="26"/>
      <c r="C29" s="66"/>
      <c r="D29" s="207"/>
      <c r="E29" s="66"/>
    </row>
    <row r="30" spans="1:5" x14ac:dyDescent="0.25">
      <c r="A30" s="20">
        <v>552400</v>
      </c>
      <c r="B30" s="26" t="s">
        <v>11</v>
      </c>
      <c r="C30" s="66">
        <v>3741</v>
      </c>
      <c r="D30" s="207"/>
      <c r="E30" s="66">
        <f>SUM(C30:D30)</f>
        <v>3741</v>
      </c>
    </row>
    <row r="31" spans="1:5" x14ac:dyDescent="0.25">
      <c r="A31" s="26"/>
      <c r="B31" s="6" t="s">
        <v>12</v>
      </c>
      <c r="C31" s="65">
        <f>SUM(C30)</f>
        <v>3741</v>
      </c>
      <c r="D31" s="208">
        <f>SUM(D30)</f>
        <v>0</v>
      </c>
      <c r="E31" s="65">
        <f>SUM(E30)</f>
        <v>3741</v>
      </c>
    </row>
    <row r="32" spans="1:5" x14ac:dyDescent="0.25">
      <c r="A32" s="9"/>
      <c r="B32" s="9"/>
      <c r="C32" s="64"/>
      <c r="D32" s="207"/>
      <c r="E32" s="64"/>
    </row>
    <row r="33" spans="1:5" x14ac:dyDescent="0.25">
      <c r="A33" s="9"/>
      <c r="B33" s="9"/>
      <c r="C33" s="64"/>
      <c r="D33" s="207"/>
      <c r="E33" s="64"/>
    </row>
    <row r="34" spans="1:5" s="23" customFormat="1" ht="15.6" x14ac:dyDescent="0.3">
      <c r="A34" s="12" t="s">
        <v>200</v>
      </c>
      <c r="B34" s="12"/>
      <c r="C34" s="70">
        <f>+C31+C28+C24+C21+C11</f>
        <v>1775177</v>
      </c>
      <c r="D34" s="209">
        <f>+D31+D28+D24+D21+D11</f>
        <v>6703</v>
      </c>
      <c r="E34" s="70">
        <f>+E31+E28+E24+E21+E11</f>
        <v>1781880</v>
      </c>
    </row>
  </sheetData>
  <mergeCells count="1">
    <mergeCell ref="A4:B4"/>
  </mergeCells>
  <phoneticPr fontId="0" type="noConversion"/>
  <printOptions horizontalCentered="1"/>
  <pageMargins left="0.75" right="0.75" top="1" bottom="1" header="0.5" footer="0.5"/>
  <pageSetup scale="77" firstPageNumber="50" orientation="portrait" useFirstPageNumber="1" r:id="rId1"/>
  <headerFooter alignWithMargins="0">
    <oddFooter>&amp;C&amp;"Arial,Bold"&amp;P</oddFooter>
  </headerFooter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E39"/>
  <sheetViews>
    <sheetView workbookViewId="0">
      <selection activeCell="D14" sqref="D14"/>
    </sheetView>
  </sheetViews>
  <sheetFormatPr defaultRowHeight="13.2" x14ac:dyDescent="0.25"/>
  <cols>
    <col min="1" max="1" width="11.6640625" customWidth="1"/>
    <col min="2" max="2" width="52.6640625" customWidth="1"/>
    <col min="3" max="3" width="17.6640625" customWidth="1"/>
    <col min="4" max="4" width="17.6640625" style="215" customWidth="1"/>
    <col min="5" max="6" width="17.6640625" customWidth="1"/>
  </cols>
  <sheetData>
    <row r="1" spans="1:5" ht="15.6" x14ac:dyDescent="0.3">
      <c r="A1" s="5" t="s">
        <v>261</v>
      </c>
    </row>
    <row r="2" spans="1:5" ht="15.6" x14ac:dyDescent="0.3">
      <c r="A2" s="5" t="s">
        <v>510</v>
      </c>
    </row>
    <row r="3" spans="1:5" ht="13.8" thickBot="1" x14ac:dyDescent="0.3"/>
    <row r="4" spans="1:5" ht="15.6" x14ac:dyDescent="0.3">
      <c r="A4" s="413" t="s">
        <v>150</v>
      </c>
      <c r="B4" s="414"/>
      <c r="C4" s="94" t="s">
        <v>483</v>
      </c>
      <c r="D4" s="356"/>
      <c r="E4" s="362" t="s">
        <v>511</v>
      </c>
    </row>
    <row r="5" spans="1:5" ht="15.6" x14ac:dyDescent="0.3">
      <c r="A5" s="60"/>
      <c r="B5" s="61"/>
      <c r="C5" s="93" t="s">
        <v>345</v>
      </c>
      <c r="D5" s="358"/>
      <c r="E5" s="363" t="s">
        <v>342</v>
      </c>
    </row>
    <row r="6" spans="1:5" ht="16.2" thickBot="1" x14ac:dyDescent="0.35">
      <c r="A6" s="13"/>
      <c r="B6" s="14"/>
      <c r="C6" s="14" t="s">
        <v>290</v>
      </c>
      <c r="D6" s="360" t="s">
        <v>493</v>
      </c>
      <c r="E6" s="364" t="s">
        <v>290</v>
      </c>
    </row>
    <row r="7" spans="1:5" ht="13.8" x14ac:dyDescent="0.25">
      <c r="A7" s="62">
        <v>72120</v>
      </c>
      <c r="B7" s="78" t="s">
        <v>154</v>
      </c>
      <c r="C7" s="25"/>
      <c r="D7" s="216"/>
      <c r="E7" s="25"/>
    </row>
    <row r="8" spans="1:5" x14ac:dyDescent="0.25">
      <c r="A8" s="20">
        <v>513100</v>
      </c>
      <c r="B8" s="26" t="s">
        <v>151</v>
      </c>
      <c r="C8" s="66">
        <v>1369594</v>
      </c>
      <c r="D8" s="207">
        <f>6263+31342-33868</f>
        <v>3737</v>
      </c>
      <c r="E8" s="66">
        <f>SUM(C8:D8)</f>
        <v>1373331</v>
      </c>
    </row>
    <row r="9" spans="1:5" x14ac:dyDescent="0.25">
      <c r="A9" s="6"/>
      <c r="B9" s="6" t="s">
        <v>102</v>
      </c>
      <c r="C9" s="65">
        <f>SUM(C8)</f>
        <v>1369594</v>
      </c>
      <c r="D9" s="208">
        <f>SUM(D8)</f>
        <v>3737</v>
      </c>
      <c r="E9" s="65">
        <f>SUM(E8)</f>
        <v>1373331</v>
      </c>
    </row>
    <row r="10" spans="1:5" x14ac:dyDescent="0.25">
      <c r="A10" s="20"/>
      <c r="B10" s="26"/>
      <c r="C10" s="66"/>
      <c r="D10" s="207"/>
      <c r="E10" s="66"/>
    </row>
    <row r="11" spans="1:5" x14ac:dyDescent="0.25">
      <c r="A11" s="20">
        <v>520100</v>
      </c>
      <c r="B11" s="26" t="s">
        <v>15</v>
      </c>
      <c r="C11" s="66">
        <v>93914</v>
      </c>
      <c r="D11" s="207">
        <f>429+2149-2322</f>
        <v>256</v>
      </c>
      <c r="E11" s="66">
        <f t="shared" ref="E11:E17" si="0">SUM(C11:D11)</f>
        <v>94170</v>
      </c>
    </row>
    <row r="12" spans="1:5" x14ac:dyDescent="0.25">
      <c r="A12" s="20">
        <v>521100</v>
      </c>
      <c r="B12" s="26" t="s">
        <v>20</v>
      </c>
      <c r="C12" s="66">
        <v>11657</v>
      </c>
      <c r="D12" s="207">
        <f>53+267-288</f>
        <v>32</v>
      </c>
      <c r="E12" s="66">
        <f t="shared" si="0"/>
        <v>11689</v>
      </c>
    </row>
    <row r="13" spans="1:5" x14ac:dyDescent="0.25">
      <c r="A13" s="20">
        <v>520400</v>
      </c>
      <c r="B13" s="26" t="s">
        <v>16</v>
      </c>
      <c r="C13" s="66">
        <v>105253</v>
      </c>
      <c r="D13" s="207">
        <f>481+4176-2603</f>
        <v>2054</v>
      </c>
      <c r="E13" s="66">
        <f t="shared" si="0"/>
        <v>107307</v>
      </c>
    </row>
    <row r="14" spans="1:5" x14ac:dyDescent="0.25">
      <c r="A14" s="20">
        <v>520700</v>
      </c>
      <c r="B14" s="26" t="s">
        <v>18</v>
      </c>
      <c r="C14" s="66">
        <v>113157</v>
      </c>
      <c r="D14" s="207"/>
      <c r="E14" s="66">
        <f t="shared" si="0"/>
        <v>113157</v>
      </c>
    </row>
    <row r="15" spans="1:5" x14ac:dyDescent="0.25">
      <c r="A15" s="20">
        <v>520600</v>
      </c>
      <c r="B15" s="26" t="s">
        <v>17</v>
      </c>
      <c r="C15" s="66">
        <v>2270</v>
      </c>
      <c r="D15" s="207"/>
      <c r="E15" s="66">
        <f t="shared" si="0"/>
        <v>2270</v>
      </c>
    </row>
    <row r="16" spans="1:5" x14ac:dyDescent="0.25">
      <c r="A16" s="20">
        <v>520800</v>
      </c>
      <c r="B16" s="26" t="s">
        <v>19</v>
      </c>
      <c r="C16" s="66">
        <v>720</v>
      </c>
      <c r="D16" s="207"/>
      <c r="E16" s="66">
        <f t="shared" si="0"/>
        <v>720</v>
      </c>
    </row>
    <row r="17" spans="1:5" x14ac:dyDescent="0.25">
      <c r="A17" s="20">
        <v>529700</v>
      </c>
      <c r="B17" s="26" t="s">
        <v>196</v>
      </c>
      <c r="C17" s="66">
        <v>3485</v>
      </c>
      <c r="D17" s="207"/>
      <c r="E17" s="66">
        <f t="shared" si="0"/>
        <v>3485</v>
      </c>
    </row>
    <row r="18" spans="1:5" x14ac:dyDescent="0.25">
      <c r="A18" s="6"/>
      <c r="B18" s="6" t="s">
        <v>111</v>
      </c>
      <c r="C18" s="65">
        <f>SUM(C11:C17)</f>
        <v>330456</v>
      </c>
      <c r="D18" s="208">
        <f>SUM(D11:D17)</f>
        <v>2342</v>
      </c>
      <c r="E18" s="65">
        <f>SUM(E11:E17)</f>
        <v>332798</v>
      </c>
    </row>
    <row r="19" spans="1:5" x14ac:dyDescent="0.25">
      <c r="A19" s="20"/>
      <c r="B19" s="26"/>
      <c r="C19" s="66"/>
      <c r="D19" s="207"/>
      <c r="E19" s="66"/>
    </row>
    <row r="20" spans="1:5" x14ac:dyDescent="0.25">
      <c r="A20" s="20">
        <v>530700</v>
      </c>
      <c r="B20" s="26" t="s">
        <v>1</v>
      </c>
      <c r="C20" s="66">
        <v>7000</v>
      </c>
      <c r="D20" s="207"/>
      <c r="E20" s="66">
        <f>SUM(C20:D20)</f>
        <v>7000</v>
      </c>
    </row>
    <row r="21" spans="1:5" x14ac:dyDescent="0.25">
      <c r="A21" s="20">
        <v>531200</v>
      </c>
      <c r="B21" s="26" t="s">
        <v>59</v>
      </c>
      <c r="C21" s="66">
        <v>19200</v>
      </c>
      <c r="D21" s="207"/>
      <c r="E21" s="66">
        <f>SUM(C21:D21)</f>
        <v>19200</v>
      </c>
    </row>
    <row r="22" spans="1:5" x14ac:dyDescent="0.25">
      <c r="A22" s="20">
        <v>535100</v>
      </c>
      <c r="B22" s="26" t="s">
        <v>23</v>
      </c>
      <c r="C22" s="66">
        <v>0</v>
      </c>
      <c r="D22" s="207"/>
      <c r="E22" s="66">
        <f>SUM(C22:D22)</f>
        <v>0</v>
      </c>
    </row>
    <row r="23" spans="1:5" x14ac:dyDescent="0.25">
      <c r="A23" s="20">
        <v>535500</v>
      </c>
      <c r="B23" s="26" t="s">
        <v>2</v>
      </c>
      <c r="C23" s="66">
        <v>43350</v>
      </c>
      <c r="D23" s="207"/>
      <c r="E23" s="66">
        <f>SUM(C23:D23)</f>
        <v>43350</v>
      </c>
    </row>
    <row r="24" spans="1:5" x14ac:dyDescent="0.25">
      <c r="A24" s="20">
        <v>532000</v>
      </c>
      <c r="B24" s="26" t="s">
        <v>94</v>
      </c>
      <c r="C24" s="66">
        <v>600</v>
      </c>
      <c r="D24" s="207"/>
      <c r="E24" s="66">
        <f>SUM(C24:D24)</f>
        <v>600</v>
      </c>
    </row>
    <row r="25" spans="1:5" x14ac:dyDescent="0.25">
      <c r="A25" s="6"/>
      <c r="B25" s="6" t="s">
        <v>4</v>
      </c>
      <c r="C25" s="65">
        <f>SUM(C20:C24)</f>
        <v>70150</v>
      </c>
      <c r="D25" s="208">
        <f>SUM(D20:D24)</f>
        <v>0</v>
      </c>
      <c r="E25" s="65">
        <f>SUM(E20:E24)</f>
        <v>70150</v>
      </c>
    </row>
    <row r="26" spans="1:5" x14ac:dyDescent="0.25">
      <c r="A26" s="20"/>
      <c r="B26" s="26"/>
      <c r="C26" s="66"/>
      <c r="D26" s="207"/>
      <c r="E26" s="66"/>
    </row>
    <row r="27" spans="1:5" x14ac:dyDescent="0.25">
      <c r="A27" s="20">
        <v>542200</v>
      </c>
      <c r="B27" s="26" t="s">
        <v>25</v>
      </c>
      <c r="C27" s="66">
        <v>250</v>
      </c>
      <c r="D27" s="207"/>
      <c r="E27" s="66">
        <f>SUM(C27:D27)</f>
        <v>250</v>
      </c>
    </row>
    <row r="28" spans="1:5" x14ac:dyDescent="0.25">
      <c r="A28" s="20">
        <v>541300</v>
      </c>
      <c r="B28" s="26" t="s">
        <v>152</v>
      </c>
      <c r="C28" s="66">
        <v>115600</v>
      </c>
      <c r="D28" s="207"/>
      <c r="E28" s="66">
        <f>SUM(C28:D28)</f>
        <v>115600</v>
      </c>
    </row>
    <row r="29" spans="1:5" x14ac:dyDescent="0.25">
      <c r="A29" s="20">
        <v>543500</v>
      </c>
      <c r="B29" s="26" t="s">
        <v>6</v>
      </c>
      <c r="C29" s="66">
        <v>7000</v>
      </c>
      <c r="D29" s="207"/>
      <c r="E29" s="66">
        <f>SUM(C29:D29)</f>
        <v>7000</v>
      </c>
    </row>
    <row r="30" spans="1:5" x14ac:dyDescent="0.25">
      <c r="A30" s="20">
        <v>542900</v>
      </c>
      <c r="B30" s="26" t="s">
        <v>28</v>
      </c>
      <c r="C30" s="66">
        <v>3000</v>
      </c>
      <c r="D30" s="207"/>
      <c r="E30" s="66">
        <f>SUM(C30:D30)</f>
        <v>3000</v>
      </c>
    </row>
    <row r="31" spans="1:5" x14ac:dyDescent="0.25">
      <c r="A31" s="20">
        <v>543700</v>
      </c>
      <c r="B31" s="26" t="s">
        <v>43</v>
      </c>
      <c r="C31" s="66">
        <v>160</v>
      </c>
      <c r="D31" s="207"/>
      <c r="E31" s="66">
        <f>SUM(C31:D31)</f>
        <v>160</v>
      </c>
    </row>
    <row r="32" spans="1:5" x14ac:dyDescent="0.25">
      <c r="A32" s="6"/>
      <c r="B32" s="6" t="s">
        <v>9</v>
      </c>
      <c r="C32" s="65">
        <f>SUM(C27:C31)</f>
        <v>126010</v>
      </c>
      <c r="D32" s="208">
        <f>SUM(D27:D31)</f>
        <v>0</v>
      </c>
      <c r="E32" s="65">
        <f>SUM(E27:E31)</f>
        <v>126010</v>
      </c>
    </row>
    <row r="33" spans="1:5" x14ac:dyDescent="0.25">
      <c r="A33" s="20"/>
      <c r="B33" s="26"/>
      <c r="C33" s="66"/>
      <c r="D33" s="207"/>
      <c r="E33" s="66"/>
    </row>
    <row r="34" spans="1:5" x14ac:dyDescent="0.25">
      <c r="A34" s="20">
        <v>559900</v>
      </c>
      <c r="B34" s="26" t="s">
        <v>116</v>
      </c>
      <c r="C34" s="66">
        <v>11388</v>
      </c>
      <c r="D34" s="207"/>
      <c r="E34" s="66">
        <f>SUM(C34:D34)</f>
        <v>11388</v>
      </c>
    </row>
    <row r="35" spans="1:5" x14ac:dyDescent="0.25">
      <c r="A35" s="20">
        <v>552400</v>
      </c>
      <c r="B35" s="26" t="s">
        <v>508</v>
      </c>
      <c r="C35" s="66">
        <v>10000</v>
      </c>
      <c r="D35" s="207"/>
      <c r="E35" s="66">
        <f>SUM(C35:D35)</f>
        <v>10000</v>
      </c>
    </row>
    <row r="36" spans="1:5" x14ac:dyDescent="0.25">
      <c r="A36" s="20"/>
      <c r="B36" s="6" t="s">
        <v>12</v>
      </c>
      <c r="C36" s="65">
        <f>SUM(C34:C35)</f>
        <v>21388</v>
      </c>
      <c r="D36" s="208">
        <f>SUM(D34:D35)</f>
        <v>0</v>
      </c>
      <c r="E36" s="65">
        <f>SUM(E34:E35)</f>
        <v>21388</v>
      </c>
    </row>
    <row r="37" spans="1:5" x14ac:dyDescent="0.25">
      <c r="A37" s="9"/>
      <c r="B37" s="9"/>
      <c r="C37" s="64"/>
      <c r="D37" s="207"/>
      <c r="E37" s="64"/>
    </row>
    <row r="38" spans="1:5" x14ac:dyDescent="0.25">
      <c r="A38" s="9"/>
      <c r="B38" s="9"/>
      <c r="C38" s="64"/>
      <c r="D38" s="207"/>
      <c r="E38" s="64"/>
    </row>
    <row r="39" spans="1:5" s="23" customFormat="1" ht="15.6" x14ac:dyDescent="0.3">
      <c r="A39" s="12" t="s">
        <v>153</v>
      </c>
      <c r="B39" s="12"/>
      <c r="C39" s="70">
        <f>SUM(C9+C18+C25+C32+C36)</f>
        <v>1917598</v>
      </c>
      <c r="D39" s="209">
        <f>SUM(D9+D18+D25+D32+D36)</f>
        <v>6079</v>
      </c>
      <c r="E39" s="70">
        <f>SUM(E9+E18+E25+E32+E36)</f>
        <v>1923677</v>
      </c>
    </row>
  </sheetData>
  <mergeCells count="1">
    <mergeCell ref="A4:B4"/>
  </mergeCells>
  <phoneticPr fontId="0" type="noConversion"/>
  <printOptions horizontalCentered="1"/>
  <pageMargins left="0.75" right="0.75" top="1" bottom="1" header="0.5" footer="0.5"/>
  <pageSetup scale="77" firstPageNumber="51" orientation="portrait" useFirstPageNumber="1" r:id="rId1"/>
  <headerFooter alignWithMargins="0">
    <oddFooter>&amp;C&amp;"Arial,Bold"&amp;P</oddFooter>
  </headerFooter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9"/>
  <sheetViews>
    <sheetView workbookViewId="0">
      <selection activeCell="D20" sqref="D20"/>
    </sheetView>
  </sheetViews>
  <sheetFormatPr defaultRowHeight="13.2" x14ac:dyDescent="0.25"/>
  <cols>
    <col min="1" max="1" width="11.6640625" customWidth="1"/>
    <col min="2" max="2" width="52.6640625" customWidth="1"/>
    <col min="3" max="3" width="17.6640625" customWidth="1"/>
    <col min="4" max="4" width="17.6640625" style="215" customWidth="1"/>
    <col min="5" max="6" width="17.6640625" customWidth="1"/>
  </cols>
  <sheetData>
    <row r="1" spans="1:5" ht="15.6" x14ac:dyDescent="0.3">
      <c r="A1" s="5" t="s">
        <v>261</v>
      </c>
    </row>
    <row r="2" spans="1:5" ht="15.6" x14ac:dyDescent="0.3">
      <c r="A2" s="5" t="s">
        <v>510</v>
      </c>
    </row>
    <row r="3" spans="1:5" ht="13.8" thickBot="1" x14ac:dyDescent="0.3"/>
    <row r="4" spans="1:5" ht="15.6" x14ac:dyDescent="0.3">
      <c r="A4" s="413" t="s">
        <v>293</v>
      </c>
      <c r="B4" s="414"/>
      <c r="C4" s="94" t="s">
        <v>483</v>
      </c>
      <c r="D4" s="356"/>
      <c r="E4" s="362" t="s">
        <v>511</v>
      </c>
    </row>
    <row r="5" spans="1:5" ht="15.6" x14ac:dyDescent="0.3">
      <c r="A5" s="60"/>
      <c r="B5" s="61"/>
      <c r="C5" s="93" t="s">
        <v>345</v>
      </c>
      <c r="D5" s="358"/>
      <c r="E5" s="363" t="s">
        <v>342</v>
      </c>
    </row>
    <row r="6" spans="1:5" ht="16.2" thickBot="1" x14ac:dyDescent="0.35">
      <c r="A6" s="13"/>
      <c r="B6" s="14"/>
      <c r="C6" s="14" t="s">
        <v>290</v>
      </c>
      <c r="D6" s="360" t="s">
        <v>493</v>
      </c>
      <c r="E6" s="364" t="s">
        <v>290</v>
      </c>
    </row>
    <row r="7" spans="1:5" ht="13.8" x14ac:dyDescent="0.25">
      <c r="A7" s="62">
        <v>72130</v>
      </c>
      <c r="B7" s="78" t="s">
        <v>154</v>
      </c>
      <c r="C7" s="25"/>
      <c r="D7" s="216"/>
      <c r="E7" s="25"/>
    </row>
    <row r="8" spans="1:5" x14ac:dyDescent="0.25">
      <c r="A8" s="71">
        <v>510500</v>
      </c>
      <c r="B8" s="42" t="s">
        <v>198</v>
      </c>
      <c r="C8" s="64">
        <v>131145</v>
      </c>
      <c r="D8" s="207">
        <f>600+3001-3243</f>
        <v>358</v>
      </c>
      <c r="E8" s="64">
        <f t="shared" ref="E8:E13" si="0">SUM(C8:D8)</f>
        <v>131503</v>
      </c>
    </row>
    <row r="9" spans="1:5" x14ac:dyDescent="0.25">
      <c r="A9" s="71">
        <v>512300</v>
      </c>
      <c r="B9" s="42" t="s">
        <v>192</v>
      </c>
      <c r="C9" s="64">
        <v>5762575</v>
      </c>
      <c r="D9" s="207">
        <f>26351+32273-131123</f>
        <v>-72499</v>
      </c>
      <c r="E9" s="64">
        <f t="shared" si="0"/>
        <v>5690076</v>
      </c>
    </row>
    <row r="10" spans="1:5" x14ac:dyDescent="0.25">
      <c r="A10" s="71">
        <v>512400</v>
      </c>
      <c r="B10" s="42" t="s">
        <v>201</v>
      </c>
      <c r="C10" s="64">
        <v>1214474</v>
      </c>
      <c r="D10" s="207">
        <f>5554+27793-30032</f>
        <v>3315</v>
      </c>
      <c r="E10" s="64">
        <f t="shared" si="0"/>
        <v>1217789</v>
      </c>
    </row>
    <row r="11" spans="1:5" x14ac:dyDescent="0.25">
      <c r="A11" s="71">
        <v>516100</v>
      </c>
      <c r="B11" s="42" t="s">
        <v>56</v>
      </c>
      <c r="C11" s="64">
        <v>75024</v>
      </c>
      <c r="D11" s="207">
        <f>-568+773</f>
        <v>205</v>
      </c>
      <c r="E11" s="64">
        <f t="shared" si="0"/>
        <v>75229</v>
      </c>
    </row>
    <row r="12" spans="1:5" x14ac:dyDescent="0.25">
      <c r="A12" s="71">
        <v>511700</v>
      </c>
      <c r="B12" s="42" t="s">
        <v>108</v>
      </c>
      <c r="C12" s="64">
        <v>82000</v>
      </c>
      <c r="D12" s="207"/>
      <c r="E12" s="64">
        <f t="shared" si="0"/>
        <v>82000</v>
      </c>
    </row>
    <row r="13" spans="1:5" x14ac:dyDescent="0.25">
      <c r="A13" s="71">
        <v>512700</v>
      </c>
      <c r="B13" s="42" t="s">
        <v>239</v>
      </c>
      <c r="C13" s="64">
        <v>10000</v>
      </c>
      <c r="D13" s="207"/>
      <c r="E13" s="64">
        <f t="shared" si="0"/>
        <v>10000</v>
      </c>
    </row>
    <row r="14" spans="1:5" x14ac:dyDescent="0.25">
      <c r="A14" s="43"/>
      <c r="B14" s="43" t="s">
        <v>102</v>
      </c>
      <c r="C14" s="65">
        <f>SUM(C8:C13)</f>
        <v>7275218</v>
      </c>
      <c r="D14" s="208">
        <f>SUM(D8:D13)</f>
        <v>-68621</v>
      </c>
      <c r="E14" s="65">
        <f>SUM(E8:E13)</f>
        <v>7206597</v>
      </c>
    </row>
    <row r="15" spans="1:5" x14ac:dyDescent="0.25">
      <c r="A15" s="72"/>
      <c r="B15" s="44"/>
      <c r="C15" s="64"/>
      <c r="D15" s="207"/>
      <c r="E15" s="64"/>
    </row>
    <row r="16" spans="1:5" x14ac:dyDescent="0.25">
      <c r="A16" s="72">
        <v>520200</v>
      </c>
      <c r="B16" s="44" t="s">
        <v>157</v>
      </c>
      <c r="C16" s="64">
        <v>40000</v>
      </c>
      <c r="D16" s="207"/>
      <c r="E16" s="64">
        <f t="shared" ref="E16:E23" si="1">SUM(C16:D16)</f>
        <v>40000</v>
      </c>
    </row>
    <row r="17" spans="1:5" x14ac:dyDescent="0.25">
      <c r="A17" s="72">
        <v>520100</v>
      </c>
      <c r="B17" s="44" t="s">
        <v>15</v>
      </c>
      <c r="C17" s="64">
        <v>497282</v>
      </c>
      <c r="D17" s="207">
        <f>2274+1780-11315</f>
        <v>-7261</v>
      </c>
      <c r="E17" s="64">
        <f t="shared" si="1"/>
        <v>490021</v>
      </c>
    </row>
    <row r="18" spans="1:5" x14ac:dyDescent="0.25">
      <c r="A18" s="72">
        <v>521100</v>
      </c>
      <c r="B18" s="44" t="s">
        <v>20</v>
      </c>
      <c r="C18" s="64">
        <v>4746</v>
      </c>
      <c r="D18" s="207">
        <f>-27+49</f>
        <v>22</v>
      </c>
      <c r="E18" s="64">
        <f t="shared" si="1"/>
        <v>4768</v>
      </c>
    </row>
    <row r="19" spans="1:5" x14ac:dyDescent="0.25">
      <c r="A19" s="72">
        <v>520400</v>
      </c>
      <c r="B19" s="44" t="s">
        <v>16</v>
      </c>
      <c r="C19" s="64">
        <v>633401</v>
      </c>
      <c r="D19" s="207">
        <f>2896+14331-14413</f>
        <v>2814</v>
      </c>
      <c r="E19" s="64">
        <f t="shared" si="1"/>
        <v>636215</v>
      </c>
    </row>
    <row r="20" spans="1:5" x14ac:dyDescent="0.25">
      <c r="A20" s="72">
        <v>520700</v>
      </c>
      <c r="B20" s="44" t="s">
        <v>18</v>
      </c>
      <c r="C20" s="64">
        <v>588113</v>
      </c>
      <c r="D20" s="207"/>
      <c r="E20" s="64">
        <f t="shared" si="1"/>
        <v>588113</v>
      </c>
    </row>
    <row r="21" spans="1:5" x14ac:dyDescent="0.25">
      <c r="A21" s="72">
        <v>520600</v>
      </c>
      <c r="B21" s="44" t="s">
        <v>17</v>
      </c>
      <c r="C21" s="64">
        <v>10379</v>
      </c>
      <c r="D21" s="207"/>
      <c r="E21" s="64">
        <f t="shared" si="1"/>
        <v>10379</v>
      </c>
    </row>
    <row r="22" spans="1:5" x14ac:dyDescent="0.25">
      <c r="A22" s="72">
        <v>520800</v>
      </c>
      <c r="B22" s="44" t="s">
        <v>19</v>
      </c>
      <c r="C22" s="64">
        <v>3087</v>
      </c>
      <c r="D22" s="207"/>
      <c r="E22" s="64">
        <f t="shared" si="1"/>
        <v>3087</v>
      </c>
    </row>
    <row r="23" spans="1:5" x14ac:dyDescent="0.25">
      <c r="A23" s="72">
        <v>529700</v>
      </c>
      <c r="B23" s="44" t="s">
        <v>196</v>
      </c>
      <c r="C23" s="64">
        <v>20250</v>
      </c>
      <c r="D23" s="207"/>
      <c r="E23" s="64">
        <f t="shared" si="1"/>
        <v>20250</v>
      </c>
    </row>
    <row r="24" spans="1:5" x14ac:dyDescent="0.25">
      <c r="A24" s="43"/>
      <c r="B24" s="43" t="s">
        <v>111</v>
      </c>
      <c r="C24" s="65">
        <f>SUM(C16:C23)</f>
        <v>1797258</v>
      </c>
      <c r="D24" s="208">
        <f>SUM(D16:D23)</f>
        <v>-4425</v>
      </c>
      <c r="E24" s="65">
        <f>SUM(E16:E23)</f>
        <v>1792833</v>
      </c>
    </row>
    <row r="25" spans="1:5" x14ac:dyDescent="0.25">
      <c r="A25" s="72"/>
      <c r="B25" s="44"/>
      <c r="C25" s="64"/>
      <c r="D25" s="207"/>
      <c r="E25" s="64"/>
    </row>
    <row r="26" spans="1:5" x14ac:dyDescent="0.25">
      <c r="A26" s="72">
        <v>530900</v>
      </c>
      <c r="B26" s="26" t="s">
        <v>79</v>
      </c>
      <c r="C26" s="64">
        <v>422500</v>
      </c>
      <c r="D26" s="207"/>
      <c r="E26" s="64">
        <f>SUM(C26:D26)</f>
        <v>422500</v>
      </c>
    </row>
    <row r="27" spans="1:5" x14ac:dyDescent="0.25">
      <c r="A27" s="43"/>
      <c r="B27" s="43" t="s">
        <v>111</v>
      </c>
      <c r="C27" s="65">
        <f>+C26</f>
        <v>422500</v>
      </c>
      <c r="D27" s="208">
        <f>+D26</f>
        <v>0</v>
      </c>
      <c r="E27" s="65">
        <f>+E26</f>
        <v>422500</v>
      </c>
    </row>
    <row r="28" spans="1:5" x14ac:dyDescent="0.25">
      <c r="A28" s="9"/>
      <c r="B28" s="9"/>
      <c r="C28" s="64"/>
      <c r="D28" s="207"/>
      <c r="E28" s="64"/>
    </row>
    <row r="29" spans="1:5" s="23" customFormat="1" ht="15.6" x14ac:dyDescent="0.3">
      <c r="A29" s="12" t="s">
        <v>202</v>
      </c>
      <c r="B29" s="12"/>
      <c r="C29" s="70">
        <f>+C27+C24+C14</f>
        <v>9494976</v>
      </c>
      <c r="D29" s="209">
        <f>+D27+D24+D14</f>
        <v>-73046</v>
      </c>
      <c r="E29" s="70">
        <f>+E27+E24+E14</f>
        <v>9421930</v>
      </c>
    </row>
  </sheetData>
  <mergeCells count="1">
    <mergeCell ref="A4:B4"/>
  </mergeCells>
  <phoneticPr fontId="0" type="noConversion"/>
  <printOptions horizontalCentered="1"/>
  <pageMargins left="0.75" right="0.75" top="1" bottom="1" header="0.5" footer="0.5"/>
  <pageSetup scale="77" firstPageNumber="52" orientation="portrait" useFirstPageNumber="1" r:id="rId1"/>
  <headerFooter alignWithMargins="0">
    <oddFooter>&amp;C&amp;"Arial,Bold"&amp;P</oddFooter>
  </headerFooter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E14"/>
  <sheetViews>
    <sheetView workbookViewId="0">
      <selection activeCell="A3" sqref="A3"/>
    </sheetView>
  </sheetViews>
  <sheetFormatPr defaultRowHeight="13.2" x14ac:dyDescent="0.25"/>
  <cols>
    <col min="1" max="1" width="11.6640625" customWidth="1"/>
    <col min="2" max="2" width="52.6640625" customWidth="1"/>
    <col min="3" max="3" width="17.6640625" customWidth="1"/>
    <col min="4" max="4" width="17.6640625" style="210" customWidth="1"/>
    <col min="5" max="6" width="17.6640625" customWidth="1"/>
  </cols>
  <sheetData>
    <row r="1" spans="1:5" ht="15.6" x14ac:dyDescent="0.3">
      <c r="A1" s="5" t="s">
        <v>261</v>
      </c>
    </row>
    <row r="2" spans="1:5" ht="15.6" x14ac:dyDescent="0.3">
      <c r="A2" s="5" t="s">
        <v>510</v>
      </c>
    </row>
    <row r="3" spans="1:5" ht="13.8" thickBot="1" x14ac:dyDescent="0.3"/>
    <row r="4" spans="1:5" ht="15.6" x14ac:dyDescent="0.3">
      <c r="A4" s="413" t="s">
        <v>203</v>
      </c>
      <c r="B4" s="414"/>
      <c r="C4" s="94" t="s">
        <v>483</v>
      </c>
      <c r="D4" s="356"/>
      <c r="E4" s="362" t="s">
        <v>511</v>
      </c>
    </row>
    <row r="5" spans="1:5" ht="15.6" x14ac:dyDescent="0.3">
      <c r="A5" s="60"/>
      <c r="B5" s="61"/>
      <c r="C5" s="93" t="s">
        <v>345</v>
      </c>
      <c r="D5" s="358"/>
      <c r="E5" s="363" t="s">
        <v>342</v>
      </c>
    </row>
    <row r="6" spans="1:5" ht="16.2" thickBot="1" x14ac:dyDescent="0.35">
      <c r="A6" s="13"/>
      <c r="B6" s="14"/>
      <c r="C6" s="14" t="s">
        <v>290</v>
      </c>
      <c r="D6" s="360" t="s">
        <v>493</v>
      </c>
      <c r="E6" s="364" t="s">
        <v>290</v>
      </c>
    </row>
    <row r="7" spans="1:5" ht="13.8" x14ac:dyDescent="0.25">
      <c r="A7" s="62">
        <v>72131</v>
      </c>
      <c r="B7" s="78" t="s">
        <v>154</v>
      </c>
      <c r="C7" s="25"/>
      <c r="D7" s="213"/>
      <c r="E7" s="25"/>
    </row>
    <row r="8" spans="1:5" x14ac:dyDescent="0.25">
      <c r="A8" s="71">
        <v>543500</v>
      </c>
      <c r="B8" s="42" t="s">
        <v>6</v>
      </c>
      <c r="C8" s="64">
        <v>1300</v>
      </c>
      <c r="D8" s="64"/>
      <c r="E8" s="64">
        <f>SUM(C8:D8)</f>
        <v>1300</v>
      </c>
    </row>
    <row r="9" spans="1:5" x14ac:dyDescent="0.25">
      <c r="A9" s="71">
        <v>542900</v>
      </c>
      <c r="B9" s="42" t="s">
        <v>28</v>
      </c>
      <c r="C9" s="64">
        <v>5306</v>
      </c>
      <c r="D9" s="64"/>
      <c r="E9" s="64">
        <f>SUM(C9:D9)</f>
        <v>5306</v>
      </c>
    </row>
    <row r="10" spans="1:5" x14ac:dyDescent="0.25">
      <c r="A10" s="71">
        <v>542950</v>
      </c>
      <c r="B10" s="42" t="s">
        <v>29</v>
      </c>
      <c r="C10" s="64">
        <v>15350</v>
      </c>
      <c r="D10" s="64"/>
      <c r="E10" s="64">
        <f>SUM(C10:D10)</f>
        <v>15350</v>
      </c>
    </row>
    <row r="11" spans="1:5" x14ac:dyDescent="0.25">
      <c r="A11" s="9"/>
      <c r="B11" s="43" t="s">
        <v>9</v>
      </c>
      <c r="C11" s="65">
        <f>SUM(C8:C10)</f>
        <v>21956</v>
      </c>
      <c r="D11" s="65">
        <f>SUM(D8:D10)</f>
        <v>0</v>
      </c>
      <c r="E11" s="65">
        <f>SUM(E8:E10)</f>
        <v>21956</v>
      </c>
    </row>
    <row r="12" spans="1:5" x14ac:dyDescent="0.25">
      <c r="A12" s="9"/>
      <c r="B12" s="9"/>
      <c r="C12" s="64"/>
      <c r="D12" s="64"/>
      <c r="E12" s="64"/>
    </row>
    <row r="13" spans="1:5" x14ac:dyDescent="0.25">
      <c r="A13" s="9"/>
      <c r="B13" s="9"/>
      <c r="C13" s="64"/>
      <c r="D13" s="64"/>
      <c r="E13" s="64"/>
    </row>
    <row r="14" spans="1:5" s="23" customFormat="1" ht="15.6" x14ac:dyDescent="0.3">
      <c r="A14" s="12" t="s">
        <v>232</v>
      </c>
      <c r="B14" s="12"/>
      <c r="C14" s="70">
        <f>SUM(C11)</f>
        <v>21956</v>
      </c>
      <c r="D14" s="70">
        <f>SUM(D11)</f>
        <v>0</v>
      </c>
      <c r="E14" s="70">
        <f>SUM(E11)</f>
        <v>21956</v>
      </c>
    </row>
  </sheetData>
  <mergeCells count="1">
    <mergeCell ref="A4:B4"/>
  </mergeCells>
  <phoneticPr fontId="0" type="noConversion"/>
  <printOptions horizontalCentered="1"/>
  <pageMargins left="0.75" right="0.75" top="1" bottom="1" header="0.5" footer="0.5"/>
  <pageSetup scale="77" firstPageNumber="53" orientation="portrait" useFirstPageNumber="1" r:id="rId1"/>
  <headerFooter alignWithMargins="0">
    <oddFooter>&amp;C&amp;"Arial,Bold"&amp;P</oddFooter>
  </headerFooter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E20"/>
  <sheetViews>
    <sheetView workbookViewId="0">
      <selection activeCell="D32" sqref="D32"/>
    </sheetView>
  </sheetViews>
  <sheetFormatPr defaultRowHeight="13.2" x14ac:dyDescent="0.25"/>
  <cols>
    <col min="1" max="1" width="11.6640625" customWidth="1"/>
    <col min="2" max="2" width="52.6640625" customWidth="1"/>
    <col min="3" max="3" width="17.6640625" customWidth="1"/>
    <col min="4" max="4" width="17.6640625" style="210" customWidth="1"/>
    <col min="5" max="6" width="17.6640625" customWidth="1"/>
  </cols>
  <sheetData>
    <row r="1" spans="1:5" ht="15.6" x14ac:dyDescent="0.3">
      <c r="A1" s="5" t="s">
        <v>261</v>
      </c>
    </row>
    <row r="2" spans="1:5" ht="15.6" x14ac:dyDescent="0.3">
      <c r="A2" s="5" t="s">
        <v>510</v>
      </c>
    </row>
    <row r="3" spans="1:5" ht="13.8" thickBot="1" x14ac:dyDescent="0.3"/>
    <row r="4" spans="1:5" ht="15.6" x14ac:dyDescent="0.3">
      <c r="A4" s="413" t="s">
        <v>300</v>
      </c>
      <c r="B4" s="414"/>
      <c r="C4" s="94" t="s">
        <v>483</v>
      </c>
      <c r="D4" s="356"/>
      <c r="E4" s="362" t="s">
        <v>511</v>
      </c>
    </row>
    <row r="5" spans="1:5" ht="15.6" x14ac:dyDescent="0.3">
      <c r="A5" s="60"/>
      <c r="B5" s="61"/>
      <c r="C5" s="93" t="s">
        <v>345</v>
      </c>
      <c r="D5" s="358"/>
      <c r="E5" s="363" t="s">
        <v>342</v>
      </c>
    </row>
    <row r="6" spans="1:5" ht="16.2" thickBot="1" x14ac:dyDescent="0.35">
      <c r="A6" s="13"/>
      <c r="B6" s="14"/>
      <c r="C6" s="14" t="s">
        <v>290</v>
      </c>
      <c r="D6" s="360" t="s">
        <v>493</v>
      </c>
      <c r="E6" s="364" t="s">
        <v>290</v>
      </c>
    </row>
    <row r="7" spans="1:5" ht="13.8" x14ac:dyDescent="0.25">
      <c r="A7" s="62">
        <v>72132</v>
      </c>
      <c r="B7" s="78" t="s">
        <v>154</v>
      </c>
      <c r="C7" s="25"/>
      <c r="D7" s="213"/>
      <c r="E7" s="25"/>
    </row>
    <row r="8" spans="1:5" x14ac:dyDescent="0.25">
      <c r="A8" s="20">
        <v>530700</v>
      </c>
      <c r="B8" s="26" t="s">
        <v>41</v>
      </c>
      <c r="C8" s="66">
        <v>1000</v>
      </c>
      <c r="D8" s="207" t="s">
        <v>291</v>
      </c>
      <c r="E8" s="66">
        <f>SUM(C8:D8)</f>
        <v>1000</v>
      </c>
    </row>
    <row r="9" spans="1:5" x14ac:dyDescent="0.25">
      <c r="A9" s="20">
        <v>532000</v>
      </c>
      <c r="B9" s="26" t="s">
        <v>333</v>
      </c>
      <c r="C9" s="66">
        <v>300</v>
      </c>
      <c r="D9" s="207" t="s">
        <v>291</v>
      </c>
      <c r="E9" s="66">
        <f>SUM(C9:D9)</f>
        <v>300</v>
      </c>
    </row>
    <row r="10" spans="1:5" x14ac:dyDescent="0.25">
      <c r="A10" s="6"/>
      <c r="B10" s="6" t="s">
        <v>4</v>
      </c>
      <c r="C10" s="65">
        <f>SUM(C8:C9)</f>
        <v>1300</v>
      </c>
      <c r="D10" s="208">
        <f>SUM(D8:D9)</f>
        <v>0</v>
      </c>
      <c r="E10" s="65">
        <f>SUM(E8:E9)</f>
        <v>1300</v>
      </c>
    </row>
    <row r="11" spans="1:5" x14ac:dyDescent="0.25">
      <c r="A11" s="20"/>
      <c r="B11" s="26"/>
      <c r="C11" s="66"/>
      <c r="D11" s="206"/>
      <c r="E11" s="66"/>
    </row>
    <row r="12" spans="1:5" x14ac:dyDescent="0.25">
      <c r="A12" s="20">
        <v>542200</v>
      </c>
      <c r="B12" s="26" t="s">
        <v>25</v>
      </c>
      <c r="C12" s="66">
        <v>500</v>
      </c>
      <c r="D12" s="206" t="s">
        <v>291</v>
      </c>
      <c r="E12" s="66">
        <f>SUM(C12:D12)</f>
        <v>500</v>
      </c>
    </row>
    <row r="13" spans="1:5" x14ac:dyDescent="0.25">
      <c r="A13" s="20">
        <v>543500</v>
      </c>
      <c r="B13" s="26" t="s">
        <v>6</v>
      </c>
      <c r="C13" s="66">
        <v>2500</v>
      </c>
      <c r="D13" s="206" t="s">
        <v>291</v>
      </c>
      <c r="E13" s="66">
        <f>SUM(C13:D13)</f>
        <v>2500</v>
      </c>
    </row>
    <row r="14" spans="1:5" x14ac:dyDescent="0.25">
      <c r="A14" s="20">
        <v>542900</v>
      </c>
      <c r="B14" s="26" t="s">
        <v>28</v>
      </c>
      <c r="C14" s="66">
        <v>1350</v>
      </c>
      <c r="D14" s="207"/>
      <c r="E14" s="66">
        <f>SUM(C14:D14)</f>
        <v>1350</v>
      </c>
    </row>
    <row r="15" spans="1:5" x14ac:dyDescent="0.25">
      <c r="A15" s="16"/>
      <c r="B15" s="6" t="s">
        <v>9</v>
      </c>
      <c r="C15" s="65">
        <f>SUM(C12:C14)</f>
        <v>4350</v>
      </c>
      <c r="D15" s="208">
        <f>SUM(D12:D14)</f>
        <v>0</v>
      </c>
      <c r="E15" s="65">
        <f>SUM(E12:E14)</f>
        <v>4350</v>
      </c>
    </row>
    <row r="16" spans="1:5" x14ac:dyDescent="0.25">
      <c r="A16" s="41"/>
      <c r="B16" s="28"/>
      <c r="C16" s="64"/>
      <c r="D16" s="206"/>
      <c r="E16" s="64"/>
    </row>
    <row r="17" spans="1:5" x14ac:dyDescent="0.25">
      <c r="A17" s="72">
        <v>552400</v>
      </c>
      <c r="B17" s="44" t="s">
        <v>11</v>
      </c>
      <c r="C17" s="66">
        <v>11532</v>
      </c>
      <c r="D17" s="207" t="s">
        <v>291</v>
      </c>
      <c r="E17" s="66">
        <f>SUM(C17:D17)</f>
        <v>11532</v>
      </c>
    </row>
    <row r="18" spans="1:5" x14ac:dyDescent="0.25">
      <c r="A18" s="41"/>
      <c r="B18" s="43" t="s">
        <v>12</v>
      </c>
      <c r="C18" s="65">
        <f>+C17</f>
        <v>11532</v>
      </c>
      <c r="D18" s="208">
        <f>SUM(D17)</f>
        <v>0</v>
      </c>
      <c r="E18" s="65">
        <f>+E17</f>
        <v>11532</v>
      </c>
    </row>
    <row r="19" spans="1:5" x14ac:dyDescent="0.25">
      <c r="A19" s="9"/>
      <c r="B19" s="9"/>
      <c r="C19" s="64"/>
      <c r="D19" s="206"/>
      <c r="E19" s="64"/>
    </row>
    <row r="20" spans="1:5" s="23" customFormat="1" ht="15.6" x14ac:dyDescent="0.3">
      <c r="A20" s="12" t="s">
        <v>301</v>
      </c>
      <c r="B20" s="12"/>
      <c r="C20" s="70">
        <f>+C15+C10+C18</f>
        <v>17182</v>
      </c>
      <c r="D20" s="70">
        <f>+D15+D10+D18</f>
        <v>0</v>
      </c>
      <c r="E20" s="70">
        <f>+E15+E10+E18</f>
        <v>17182</v>
      </c>
    </row>
  </sheetData>
  <mergeCells count="1">
    <mergeCell ref="A4:B4"/>
  </mergeCells>
  <phoneticPr fontId="0" type="noConversion"/>
  <printOptions horizontalCentered="1"/>
  <pageMargins left="0.75" right="0.75" top="1" bottom="1" header="0.5" footer="0.5"/>
  <pageSetup scale="77" firstPageNumber="54" orientation="portrait" useFirstPageNumber="1" r:id="rId1"/>
  <headerFooter alignWithMargins="0">
    <oddFooter>&amp;C&amp;"Arial,Bold"&amp;P</oddFooter>
  </headerFooter>
  <ignoredErrors>
    <ignoredError sqref="D18" formula="1"/>
  </ignoredErrors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E31"/>
  <sheetViews>
    <sheetView workbookViewId="0">
      <selection activeCell="D15" sqref="D15"/>
    </sheetView>
  </sheetViews>
  <sheetFormatPr defaultRowHeight="13.2" x14ac:dyDescent="0.25"/>
  <cols>
    <col min="1" max="1" width="11.6640625" customWidth="1"/>
    <col min="2" max="2" width="52.6640625" customWidth="1"/>
    <col min="3" max="3" width="17.6640625" customWidth="1"/>
    <col min="4" max="4" width="17.6640625" style="215" customWidth="1"/>
    <col min="5" max="6" width="17.6640625" customWidth="1"/>
  </cols>
  <sheetData>
    <row r="1" spans="1:5" ht="15.6" x14ac:dyDescent="0.3">
      <c r="A1" s="5" t="s">
        <v>261</v>
      </c>
    </row>
    <row r="2" spans="1:5" ht="15.6" x14ac:dyDescent="0.3">
      <c r="A2" s="5" t="s">
        <v>510</v>
      </c>
    </row>
    <row r="3" spans="1:5" ht="13.8" thickBot="1" x14ac:dyDescent="0.3"/>
    <row r="4" spans="1:5" ht="15.6" x14ac:dyDescent="0.3">
      <c r="A4" s="413" t="s">
        <v>204</v>
      </c>
      <c r="B4" s="414"/>
      <c r="C4" s="94" t="s">
        <v>483</v>
      </c>
      <c r="D4" s="356"/>
      <c r="E4" s="362" t="s">
        <v>511</v>
      </c>
    </row>
    <row r="5" spans="1:5" ht="15.6" x14ac:dyDescent="0.3">
      <c r="A5" s="60"/>
      <c r="B5" s="61"/>
      <c r="C5" s="93" t="s">
        <v>345</v>
      </c>
      <c r="D5" s="358"/>
      <c r="E5" s="363" t="s">
        <v>342</v>
      </c>
    </row>
    <row r="6" spans="1:5" ht="16.2" thickBot="1" x14ac:dyDescent="0.35">
      <c r="A6" s="13"/>
      <c r="B6" s="14"/>
      <c r="C6" s="14" t="s">
        <v>290</v>
      </c>
      <c r="D6" s="360" t="s">
        <v>493</v>
      </c>
      <c r="E6" s="364" t="s">
        <v>290</v>
      </c>
    </row>
    <row r="7" spans="1:5" ht="13.8" x14ac:dyDescent="0.25">
      <c r="A7" s="62">
        <v>72133</v>
      </c>
      <c r="B7" s="78" t="s">
        <v>154</v>
      </c>
      <c r="C7" s="25"/>
      <c r="D7" s="216"/>
      <c r="E7" s="25"/>
    </row>
    <row r="8" spans="1:5" x14ac:dyDescent="0.25">
      <c r="A8" s="71">
        <v>510500</v>
      </c>
      <c r="B8" s="42" t="s">
        <v>198</v>
      </c>
      <c r="C8" s="64">
        <v>97512</v>
      </c>
      <c r="D8" s="207">
        <f>-1000+2232+446-2411</f>
        <v>-733</v>
      </c>
      <c r="E8" s="64">
        <f>SUM(C8:D8)</f>
        <v>96779</v>
      </c>
    </row>
    <row r="9" spans="1:5" x14ac:dyDescent="0.25">
      <c r="A9" s="71">
        <v>516200</v>
      </c>
      <c r="B9" s="42" t="s">
        <v>14</v>
      </c>
      <c r="C9" s="64">
        <v>99144</v>
      </c>
      <c r="D9" s="207">
        <f>-751+1021</f>
        <v>270</v>
      </c>
      <c r="E9" s="64">
        <f>SUM(C9:D9)</f>
        <v>99414</v>
      </c>
    </row>
    <row r="10" spans="1:5" x14ac:dyDescent="0.25">
      <c r="A10" s="43"/>
      <c r="B10" s="43" t="s">
        <v>205</v>
      </c>
      <c r="C10" s="65">
        <f>SUM(C8:C9)</f>
        <v>196656</v>
      </c>
      <c r="D10" s="208">
        <f>SUM(D8:D9)</f>
        <v>-463</v>
      </c>
      <c r="E10" s="65">
        <f>SUM(E8:E9)</f>
        <v>196193</v>
      </c>
    </row>
    <row r="11" spans="1:5" x14ac:dyDescent="0.25">
      <c r="A11" s="72"/>
      <c r="B11" s="44"/>
      <c r="C11" s="64"/>
      <c r="D11" s="207"/>
      <c r="E11" s="64"/>
    </row>
    <row r="12" spans="1:5" x14ac:dyDescent="0.25">
      <c r="A12" s="72">
        <v>520100</v>
      </c>
      <c r="B12" s="44" t="s">
        <v>15</v>
      </c>
      <c r="C12" s="64">
        <v>15890</v>
      </c>
      <c r="D12" s="207">
        <f>73+364-362</f>
        <v>75</v>
      </c>
      <c r="E12" s="64">
        <f t="shared" ref="E12:E18" si="0">SUM(C12:D12)</f>
        <v>15965</v>
      </c>
    </row>
    <row r="13" spans="1:5" x14ac:dyDescent="0.25">
      <c r="A13" s="72">
        <v>521100</v>
      </c>
      <c r="B13" s="44" t="s">
        <v>20</v>
      </c>
      <c r="C13" s="64">
        <v>7660</v>
      </c>
      <c r="D13" s="207">
        <f>-43+79</f>
        <v>36</v>
      </c>
      <c r="E13" s="64">
        <f t="shared" si="0"/>
        <v>7696</v>
      </c>
    </row>
    <row r="14" spans="1:5" x14ac:dyDescent="0.25">
      <c r="A14" s="72">
        <v>520400</v>
      </c>
      <c r="B14" s="44" t="s">
        <v>16</v>
      </c>
      <c r="C14" s="64">
        <v>9149</v>
      </c>
      <c r="D14" s="207">
        <f>42+363-208</f>
        <v>197</v>
      </c>
      <c r="E14" s="64">
        <f t="shared" si="0"/>
        <v>9346</v>
      </c>
    </row>
    <row r="15" spans="1:5" x14ac:dyDescent="0.25">
      <c r="A15" s="72">
        <v>520700</v>
      </c>
      <c r="B15" s="44" t="s">
        <v>18</v>
      </c>
      <c r="C15" s="64">
        <v>7221</v>
      </c>
      <c r="D15" s="207"/>
      <c r="E15" s="64">
        <f t="shared" si="0"/>
        <v>7221</v>
      </c>
    </row>
    <row r="16" spans="1:5" x14ac:dyDescent="0.25">
      <c r="A16" s="72">
        <v>520600</v>
      </c>
      <c r="B16" s="44" t="s">
        <v>17</v>
      </c>
      <c r="C16" s="64">
        <v>245</v>
      </c>
      <c r="D16" s="207"/>
      <c r="E16" s="64">
        <f t="shared" si="0"/>
        <v>245</v>
      </c>
    </row>
    <row r="17" spans="1:5" x14ac:dyDescent="0.25">
      <c r="A17" s="72">
        <v>520800</v>
      </c>
      <c r="B17" s="44" t="s">
        <v>19</v>
      </c>
      <c r="C17" s="64">
        <v>100</v>
      </c>
      <c r="D17" s="207"/>
      <c r="E17" s="64">
        <f t="shared" si="0"/>
        <v>100</v>
      </c>
    </row>
    <row r="18" spans="1:5" x14ac:dyDescent="0.25">
      <c r="A18" s="72">
        <v>529700</v>
      </c>
      <c r="B18" s="44" t="s">
        <v>196</v>
      </c>
      <c r="C18" s="64">
        <v>1275</v>
      </c>
      <c r="D18" s="207"/>
      <c r="E18" s="64">
        <f t="shared" si="0"/>
        <v>1275</v>
      </c>
    </row>
    <row r="19" spans="1:5" x14ac:dyDescent="0.25">
      <c r="A19" s="43"/>
      <c r="B19" s="43" t="s">
        <v>111</v>
      </c>
      <c r="C19" s="65">
        <f>SUM(C12:C18)</f>
        <v>41540</v>
      </c>
      <c r="D19" s="208">
        <f>SUM(D12:D18)</f>
        <v>308</v>
      </c>
      <c r="E19" s="65">
        <f>SUM(E12:E18)</f>
        <v>41848</v>
      </c>
    </row>
    <row r="20" spans="1:5" x14ac:dyDescent="0.25">
      <c r="A20" s="72"/>
      <c r="B20" s="44"/>
      <c r="C20" s="64"/>
      <c r="D20" s="207"/>
      <c r="E20" s="64"/>
    </row>
    <row r="21" spans="1:5" x14ac:dyDescent="0.25">
      <c r="A21" s="72">
        <v>535500</v>
      </c>
      <c r="B21" s="44" t="s">
        <v>2</v>
      </c>
      <c r="C21" s="64">
        <v>1000</v>
      </c>
      <c r="D21" s="207"/>
      <c r="E21" s="64">
        <f>SUM(C21:D21)</f>
        <v>1000</v>
      </c>
    </row>
    <row r="22" spans="1:5" x14ac:dyDescent="0.25">
      <c r="A22" s="72">
        <v>535520</v>
      </c>
      <c r="B22" s="44" t="s">
        <v>24</v>
      </c>
      <c r="C22" s="64">
        <v>200</v>
      </c>
      <c r="D22" s="207"/>
      <c r="E22" s="64">
        <f>SUM(C22:D22)</f>
        <v>200</v>
      </c>
    </row>
    <row r="23" spans="1:5" x14ac:dyDescent="0.25">
      <c r="A23" s="43"/>
      <c r="B23" s="43" t="s">
        <v>4</v>
      </c>
      <c r="C23" s="65">
        <f>SUM(C21:C22)</f>
        <v>1200</v>
      </c>
      <c r="D23" s="208">
        <f>SUM(D21:D22)</f>
        <v>0</v>
      </c>
      <c r="E23" s="65">
        <f>SUM(E21:E22)</f>
        <v>1200</v>
      </c>
    </row>
    <row r="24" spans="1:5" x14ac:dyDescent="0.25">
      <c r="A24" s="72"/>
      <c r="B24" s="44"/>
      <c r="C24" s="64"/>
      <c r="D24" s="207"/>
      <c r="E24" s="64"/>
    </row>
    <row r="25" spans="1:5" x14ac:dyDescent="0.25">
      <c r="A25" s="72">
        <v>543500</v>
      </c>
      <c r="B25" s="44" t="s">
        <v>6</v>
      </c>
      <c r="C25" s="64">
        <v>300</v>
      </c>
      <c r="D25" s="207">
        <v>-57</v>
      </c>
      <c r="E25" s="64">
        <f>SUM(C25:D25)</f>
        <v>243</v>
      </c>
    </row>
    <row r="26" spans="1:5" x14ac:dyDescent="0.25">
      <c r="A26" s="43"/>
      <c r="B26" s="43" t="s">
        <v>9</v>
      </c>
      <c r="C26" s="65">
        <f>SUM(C25)</f>
        <v>300</v>
      </c>
      <c r="D26" s="208">
        <f>SUM(D25)</f>
        <v>-57</v>
      </c>
      <c r="E26" s="65">
        <f>SUM(E25)</f>
        <v>243</v>
      </c>
    </row>
    <row r="27" spans="1:5" x14ac:dyDescent="0.25">
      <c r="A27" s="72"/>
      <c r="B27" s="44"/>
      <c r="C27" s="64"/>
      <c r="D27" s="207"/>
      <c r="E27" s="64"/>
    </row>
    <row r="28" spans="1:5" x14ac:dyDescent="0.25">
      <c r="A28" s="72">
        <v>552400</v>
      </c>
      <c r="B28" s="44" t="s">
        <v>11</v>
      </c>
      <c r="C28" s="64">
        <v>524</v>
      </c>
      <c r="D28" s="207"/>
      <c r="E28" s="64">
        <f>SUM(C28:D28)</f>
        <v>524</v>
      </c>
    </row>
    <row r="29" spans="1:5" x14ac:dyDescent="0.25">
      <c r="A29" s="41"/>
      <c r="B29" s="43" t="s">
        <v>12</v>
      </c>
      <c r="C29" s="65">
        <f>SUM(C28)</f>
        <v>524</v>
      </c>
      <c r="D29" s="208">
        <f>SUM(D28)</f>
        <v>0</v>
      </c>
      <c r="E29" s="65">
        <f>SUM(E28)</f>
        <v>524</v>
      </c>
    </row>
    <row r="30" spans="1:5" x14ac:dyDescent="0.25">
      <c r="A30" s="41"/>
      <c r="B30" s="44"/>
      <c r="C30" s="64"/>
      <c r="D30" s="207"/>
      <c r="E30" s="64"/>
    </row>
    <row r="31" spans="1:5" s="23" customFormat="1" ht="15.6" x14ac:dyDescent="0.3">
      <c r="A31" s="12" t="s">
        <v>206</v>
      </c>
      <c r="B31" s="12"/>
      <c r="C31" s="70">
        <f>SUM(C10+C19+C23+C26+C29)</f>
        <v>240220</v>
      </c>
      <c r="D31" s="209">
        <f>SUM(D10+D19+D23+D26+D29)</f>
        <v>-212</v>
      </c>
      <c r="E31" s="70">
        <f>SUM(E10+E19+E23+E26+E29)</f>
        <v>240008</v>
      </c>
    </row>
  </sheetData>
  <mergeCells count="1">
    <mergeCell ref="A4:B4"/>
  </mergeCells>
  <phoneticPr fontId="0" type="noConversion"/>
  <printOptions horizontalCentered="1"/>
  <pageMargins left="0.75" right="0.75" top="1" bottom="1" header="0.5" footer="0.5"/>
  <pageSetup scale="77" firstPageNumber="55" orientation="portrait" useFirstPageNumber="1" r:id="rId1"/>
  <headerFooter alignWithMargins="0">
    <oddFooter>&amp;C&amp;"Arial,Bold"&amp;P</oddFooter>
  </headerFooter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E17"/>
  <sheetViews>
    <sheetView workbookViewId="0">
      <selection activeCell="A3" sqref="A3"/>
    </sheetView>
  </sheetViews>
  <sheetFormatPr defaultRowHeight="13.2" x14ac:dyDescent="0.25"/>
  <cols>
    <col min="1" max="1" width="11.6640625" customWidth="1"/>
    <col min="2" max="2" width="52.6640625" customWidth="1"/>
    <col min="3" max="3" width="17.6640625" customWidth="1"/>
    <col min="4" max="4" width="17.6640625" style="210" customWidth="1"/>
    <col min="5" max="6" width="17.6640625" customWidth="1"/>
  </cols>
  <sheetData>
    <row r="1" spans="1:5" ht="15.6" x14ac:dyDescent="0.3">
      <c r="A1" s="5" t="s">
        <v>261</v>
      </c>
    </row>
    <row r="2" spans="1:5" ht="15.6" x14ac:dyDescent="0.3">
      <c r="A2" s="5" t="s">
        <v>510</v>
      </c>
    </row>
    <row r="3" spans="1:5" ht="13.8" thickBot="1" x14ac:dyDescent="0.3"/>
    <row r="4" spans="1:5" ht="15.6" x14ac:dyDescent="0.3">
      <c r="A4" s="413" t="s">
        <v>192</v>
      </c>
      <c r="B4" s="414"/>
      <c r="C4" s="94" t="s">
        <v>483</v>
      </c>
      <c r="D4" s="356"/>
      <c r="E4" s="362" t="s">
        <v>511</v>
      </c>
    </row>
    <row r="5" spans="1:5" ht="15.6" x14ac:dyDescent="0.3">
      <c r="A5" s="60"/>
      <c r="B5" s="61"/>
      <c r="C5" s="93" t="s">
        <v>345</v>
      </c>
      <c r="D5" s="358"/>
      <c r="E5" s="363" t="s">
        <v>342</v>
      </c>
    </row>
    <row r="6" spans="1:5" ht="16.2" thickBot="1" x14ac:dyDescent="0.35">
      <c r="A6" s="13"/>
      <c r="B6" s="14"/>
      <c r="C6" s="14" t="s">
        <v>290</v>
      </c>
      <c r="D6" s="360" t="s">
        <v>493</v>
      </c>
      <c r="E6" s="364" t="s">
        <v>290</v>
      </c>
    </row>
    <row r="7" spans="1:5" ht="13.8" x14ac:dyDescent="0.25">
      <c r="A7" s="62">
        <v>72134</v>
      </c>
      <c r="B7" s="78" t="s">
        <v>154</v>
      </c>
      <c r="C7" s="25"/>
      <c r="D7" s="213"/>
      <c r="E7" s="25"/>
    </row>
    <row r="8" spans="1:5" x14ac:dyDescent="0.25">
      <c r="A8" s="20">
        <v>542900</v>
      </c>
      <c r="B8" s="26" t="s">
        <v>28</v>
      </c>
      <c r="C8" s="79">
        <v>5500</v>
      </c>
      <c r="D8" s="79"/>
      <c r="E8" s="79">
        <f>SUM(C8:D8)</f>
        <v>5500</v>
      </c>
    </row>
    <row r="9" spans="1:5" x14ac:dyDescent="0.25">
      <c r="A9" s="20">
        <v>542960</v>
      </c>
      <c r="B9" s="26" t="s">
        <v>148</v>
      </c>
      <c r="C9" s="79">
        <v>16950</v>
      </c>
      <c r="D9" s="79"/>
      <c r="E9" s="79">
        <f>SUM(C9:D9)</f>
        <v>16950</v>
      </c>
    </row>
    <row r="10" spans="1:5" x14ac:dyDescent="0.25">
      <c r="A10" s="6"/>
      <c r="B10" s="6" t="s">
        <v>9</v>
      </c>
      <c r="C10" s="65">
        <f>SUM(C8:C9)</f>
        <v>22450</v>
      </c>
      <c r="D10" s="65">
        <f>SUM(D8:D9)</f>
        <v>0</v>
      </c>
      <c r="E10" s="65">
        <f>SUM(E8:E9)</f>
        <v>22450</v>
      </c>
    </row>
    <row r="11" spans="1:5" x14ac:dyDescent="0.25">
      <c r="A11" s="20"/>
      <c r="B11" s="26"/>
      <c r="C11" s="66"/>
      <c r="D11" s="66"/>
      <c r="E11" s="66"/>
    </row>
    <row r="12" spans="1:5" x14ac:dyDescent="0.25">
      <c r="A12" s="20">
        <v>552400</v>
      </c>
      <c r="B12" s="26" t="s">
        <v>11</v>
      </c>
      <c r="C12" s="79">
        <v>5711</v>
      </c>
      <c r="D12" s="79"/>
      <c r="E12" s="79">
        <f>SUM(C12:D12)</f>
        <v>5711</v>
      </c>
    </row>
    <row r="13" spans="1:5" x14ac:dyDescent="0.25">
      <c r="A13" s="16"/>
      <c r="B13" s="6" t="s">
        <v>12</v>
      </c>
      <c r="C13" s="65">
        <f>SUM(C12)</f>
        <v>5711</v>
      </c>
      <c r="D13" s="65">
        <f>SUM(D12)</f>
        <v>0</v>
      </c>
      <c r="E13" s="65">
        <f>SUM(E12)</f>
        <v>5711</v>
      </c>
    </row>
    <row r="14" spans="1:5" x14ac:dyDescent="0.25">
      <c r="A14" s="9"/>
      <c r="B14" s="28"/>
      <c r="C14" s="64"/>
      <c r="D14" s="64"/>
      <c r="E14" s="64"/>
    </row>
    <row r="15" spans="1:5" x14ac:dyDescent="0.25">
      <c r="A15" s="9"/>
      <c r="B15" s="28"/>
      <c r="C15" s="64"/>
      <c r="D15" s="64"/>
      <c r="E15" s="64"/>
    </row>
    <row r="16" spans="1:5" s="23" customFormat="1" ht="15.6" x14ac:dyDescent="0.3">
      <c r="A16" s="12" t="s">
        <v>207</v>
      </c>
      <c r="B16" s="12"/>
      <c r="C16" s="70">
        <f>+C10+C13</f>
        <v>28161</v>
      </c>
      <c r="D16" s="70">
        <f>+D10+D13</f>
        <v>0</v>
      </c>
      <c r="E16" s="70">
        <f>+E10+E13</f>
        <v>28161</v>
      </c>
    </row>
    <row r="17" spans="4:4" x14ac:dyDescent="0.25">
      <c r="D17"/>
    </row>
  </sheetData>
  <mergeCells count="1">
    <mergeCell ref="A4:B4"/>
  </mergeCells>
  <phoneticPr fontId="0" type="noConversion"/>
  <printOptions horizontalCentered="1"/>
  <pageMargins left="0.75" right="0.75" top="1" bottom="1" header="0.5" footer="0.5"/>
  <pageSetup scale="77" firstPageNumber="56" orientation="portrait" useFirstPageNumber="1" r:id="rId1"/>
  <headerFooter alignWithMargins="0">
    <oddFooter>&amp;C&amp;"Arial,Bold"&amp;P</oddFooter>
  </headerFooter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J32"/>
  <sheetViews>
    <sheetView workbookViewId="0">
      <selection activeCell="D20" sqref="D20"/>
    </sheetView>
  </sheetViews>
  <sheetFormatPr defaultRowHeight="13.2" x14ac:dyDescent="0.25"/>
  <cols>
    <col min="1" max="1" width="11.6640625" customWidth="1"/>
    <col min="2" max="2" width="52.6640625" customWidth="1"/>
    <col min="3" max="3" width="17.6640625" customWidth="1"/>
    <col min="4" max="4" width="17.6640625" style="215" customWidth="1"/>
    <col min="5" max="5" width="17.6640625" customWidth="1"/>
  </cols>
  <sheetData>
    <row r="1" spans="1:10" ht="15.6" x14ac:dyDescent="0.3">
      <c r="A1" s="5" t="s">
        <v>261</v>
      </c>
    </row>
    <row r="2" spans="1:10" ht="15.6" x14ac:dyDescent="0.3">
      <c r="A2" s="5" t="s">
        <v>510</v>
      </c>
    </row>
    <row r="3" spans="1:10" ht="13.8" thickBot="1" x14ac:dyDescent="0.3"/>
    <row r="4" spans="1:10" ht="15.6" x14ac:dyDescent="0.3">
      <c r="A4" s="413" t="s">
        <v>231</v>
      </c>
      <c r="B4" s="414"/>
      <c r="C4" s="94" t="s">
        <v>483</v>
      </c>
      <c r="D4" s="356"/>
      <c r="E4" s="362" t="s">
        <v>511</v>
      </c>
    </row>
    <row r="5" spans="1:10" ht="15.6" x14ac:dyDescent="0.3">
      <c r="A5" s="60"/>
      <c r="B5" s="61"/>
      <c r="C5" s="93" t="s">
        <v>345</v>
      </c>
      <c r="D5" s="358"/>
      <c r="E5" s="363" t="s">
        <v>342</v>
      </c>
    </row>
    <row r="6" spans="1:10" ht="16.2" thickBot="1" x14ac:dyDescent="0.35">
      <c r="A6" s="13"/>
      <c r="B6" s="14"/>
      <c r="C6" s="14" t="s">
        <v>290</v>
      </c>
      <c r="D6" s="360" t="s">
        <v>493</v>
      </c>
      <c r="E6" s="364" t="s">
        <v>290</v>
      </c>
    </row>
    <row r="7" spans="1:10" ht="13.8" x14ac:dyDescent="0.25">
      <c r="A7" s="62">
        <v>72410</v>
      </c>
      <c r="B7" s="78" t="s">
        <v>220</v>
      </c>
      <c r="C7" s="25"/>
      <c r="D7" s="216"/>
      <c r="E7" s="25"/>
    </row>
    <row r="8" spans="1:10" x14ac:dyDescent="0.25">
      <c r="A8" s="71">
        <v>510400</v>
      </c>
      <c r="B8" s="26" t="s">
        <v>481</v>
      </c>
      <c r="C8" s="64">
        <v>7237847</v>
      </c>
      <c r="D8" s="207">
        <f>33097+685569-164692</f>
        <v>553974</v>
      </c>
      <c r="E8" s="64">
        <f t="shared" ref="E8:E13" si="0">SUM(C8:D8)</f>
        <v>7791821</v>
      </c>
    </row>
    <row r="9" spans="1:10" x14ac:dyDescent="0.25">
      <c r="A9" s="71">
        <v>516100</v>
      </c>
      <c r="B9" s="26" t="s">
        <v>56</v>
      </c>
      <c r="C9" s="64">
        <v>4424231</v>
      </c>
      <c r="D9" s="207">
        <f>-78494+70567</f>
        <v>-7927</v>
      </c>
      <c r="E9" s="64">
        <f t="shared" si="0"/>
        <v>4416304</v>
      </c>
      <c r="J9" s="56"/>
    </row>
    <row r="10" spans="1:10" x14ac:dyDescent="0.25">
      <c r="A10" s="71">
        <v>511700</v>
      </c>
      <c r="B10" s="42" t="s">
        <v>108</v>
      </c>
      <c r="C10" s="64">
        <v>247000</v>
      </c>
      <c r="D10" s="207"/>
      <c r="E10" s="64">
        <f t="shared" si="0"/>
        <v>247000</v>
      </c>
      <c r="J10" s="56"/>
    </row>
    <row r="11" spans="1:10" x14ac:dyDescent="0.25">
      <c r="A11" s="71">
        <v>512700</v>
      </c>
      <c r="B11" s="42" t="s">
        <v>109</v>
      </c>
      <c r="C11" s="64">
        <v>62700</v>
      </c>
      <c r="D11" s="207"/>
      <c r="E11" s="64">
        <f t="shared" si="0"/>
        <v>62700</v>
      </c>
    </row>
    <row r="12" spans="1:10" x14ac:dyDescent="0.25">
      <c r="A12" s="71">
        <v>511900</v>
      </c>
      <c r="B12" s="42" t="s">
        <v>194</v>
      </c>
      <c r="C12" s="64">
        <v>1573276</v>
      </c>
      <c r="D12" s="207">
        <f>-11911+16204</f>
        <v>4293</v>
      </c>
      <c r="E12" s="64">
        <f t="shared" si="0"/>
        <v>1577569</v>
      </c>
    </row>
    <row r="13" spans="1:10" x14ac:dyDescent="0.25">
      <c r="A13" s="71">
        <v>510300</v>
      </c>
      <c r="B13" s="26" t="s">
        <v>257</v>
      </c>
      <c r="C13" s="64">
        <v>8939855</v>
      </c>
      <c r="D13" s="207">
        <f>40880+204584-203420</f>
        <v>42044</v>
      </c>
      <c r="E13" s="64">
        <f t="shared" si="0"/>
        <v>8981899</v>
      </c>
    </row>
    <row r="14" spans="1:10" x14ac:dyDescent="0.25">
      <c r="A14" s="43"/>
      <c r="B14" s="43" t="s">
        <v>102</v>
      </c>
      <c r="C14" s="65">
        <f>SUM(C8:C13)</f>
        <v>22484909</v>
      </c>
      <c r="D14" s="208">
        <f>SUM(D8:D13)</f>
        <v>592384</v>
      </c>
      <c r="E14" s="65">
        <f>SUM(E8:E13)</f>
        <v>23077293</v>
      </c>
      <c r="J14" s="56"/>
    </row>
    <row r="15" spans="1:10" x14ac:dyDescent="0.25">
      <c r="A15" s="72"/>
      <c r="B15" s="44"/>
      <c r="C15" s="64"/>
      <c r="D15" s="207"/>
      <c r="E15" s="64"/>
      <c r="J15" s="56"/>
    </row>
    <row r="16" spans="1:10" x14ac:dyDescent="0.25">
      <c r="A16" s="72">
        <v>520200</v>
      </c>
      <c r="B16" s="44" t="s">
        <v>157</v>
      </c>
      <c r="C16" s="64">
        <v>200000</v>
      </c>
      <c r="D16" s="207"/>
      <c r="E16" s="64">
        <f t="shared" ref="E16:E22" si="1">SUM(C16:D16)</f>
        <v>200000</v>
      </c>
    </row>
    <row r="17" spans="1:5" x14ac:dyDescent="0.25">
      <c r="A17" s="72">
        <v>520100</v>
      </c>
      <c r="B17" s="44" t="s">
        <v>15</v>
      </c>
      <c r="C17" s="64">
        <v>1591688</v>
      </c>
      <c r="D17" s="207">
        <f>7278+107473-38718</f>
        <v>76033</v>
      </c>
      <c r="E17" s="64">
        <f t="shared" si="1"/>
        <v>1667721</v>
      </c>
    </row>
    <row r="18" spans="1:5" x14ac:dyDescent="0.25">
      <c r="A18" s="72">
        <v>521100</v>
      </c>
      <c r="B18" s="44" t="s">
        <v>20</v>
      </c>
      <c r="C18" s="64">
        <v>312053</v>
      </c>
      <c r="D18" s="207">
        <f>-4246+4114</f>
        <v>-132</v>
      </c>
      <c r="E18" s="64">
        <f t="shared" si="1"/>
        <v>311921</v>
      </c>
    </row>
    <row r="19" spans="1:5" x14ac:dyDescent="0.25">
      <c r="A19" s="72">
        <v>520400</v>
      </c>
      <c r="B19" s="44" t="s">
        <v>16</v>
      </c>
      <c r="C19" s="64">
        <v>1508069</v>
      </c>
      <c r="D19" s="207">
        <f>6896+142201-34315</f>
        <v>114782</v>
      </c>
      <c r="E19" s="64">
        <f t="shared" si="1"/>
        <v>1622851</v>
      </c>
    </row>
    <row r="20" spans="1:5" x14ac:dyDescent="0.25">
      <c r="A20" s="72">
        <v>520700</v>
      </c>
      <c r="B20" s="44" t="s">
        <v>18</v>
      </c>
      <c r="C20" s="64">
        <v>1837114</v>
      </c>
      <c r="D20" s="207"/>
      <c r="E20" s="64">
        <f t="shared" si="1"/>
        <v>1837114</v>
      </c>
    </row>
    <row r="21" spans="1:5" x14ac:dyDescent="0.25">
      <c r="A21" s="72">
        <v>520600</v>
      </c>
      <c r="B21" s="44" t="s">
        <v>17</v>
      </c>
      <c r="C21" s="64">
        <v>29545</v>
      </c>
      <c r="D21" s="207"/>
      <c r="E21" s="64">
        <f t="shared" si="1"/>
        <v>29545</v>
      </c>
    </row>
    <row r="22" spans="1:5" x14ac:dyDescent="0.25">
      <c r="A22" s="72">
        <v>520800</v>
      </c>
      <c r="B22" s="44" t="s">
        <v>19</v>
      </c>
      <c r="C22" s="64">
        <v>10110</v>
      </c>
      <c r="D22" s="207"/>
      <c r="E22" s="64">
        <f t="shared" si="1"/>
        <v>10110</v>
      </c>
    </row>
    <row r="23" spans="1:5" x14ac:dyDescent="0.25">
      <c r="A23" s="43"/>
      <c r="B23" s="43" t="s">
        <v>111</v>
      </c>
      <c r="C23" s="65">
        <f>SUM(C16:C22)</f>
        <v>5488579</v>
      </c>
      <c r="D23" s="208">
        <f>SUM(D16:D22)</f>
        <v>190683</v>
      </c>
      <c r="E23" s="65">
        <f>SUM(E16:E22)</f>
        <v>5679262</v>
      </c>
    </row>
    <row r="24" spans="1:5" x14ac:dyDescent="0.25">
      <c r="A24" s="72"/>
      <c r="B24" s="44"/>
      <c r="C24" s="64"/>
      <c r="D24" s="207"/>
      <c r="E24" s="64"/>
    </row>
    <row r="25" spans="1:5" x14ac:dyDescent="0.25">
      <c r="A25" s="72">
        <v>533600</v>
      </c>
      <c r="B25" s="26" t="s">
        <v>302</v>
      </c>
      <c r="C25" s="64">
        <v>2100000</v>
      </c>
      <c r="D25" s="207">
        <v>-42000</v>
      </c>
      <c r="E25" s="64">
        <f>SUM(C25:D25)</f>
        <v>2058000</v>
      </c>
    </row>
    <row r="26" spans="1:5" x14ac:dyDescent="0.25">
      <c r="A26" s="72">
        <v>533400</v>
      </c>
      <c r="B26" s="26" t="s">
        <v>536</v>
      </c>
      <c r="C26" s="64"/>
      <c r="D26" s="207">
        <v>42000</v>
      </c>
      <c r="E26" s="64">
        <f>SUM(C26:D26)</f>
        <v>42000</v>
      </c>
    </row>
    <row r="27" spans="1:5" x14ac:dyDescent="0.25">
      <c r="A27" s="20">
        <v>530700</v>
      </c>
      <c r="B27" s="26" t="s">
        <v>103</v>
      </c>
      <c r="C27" s="64">
        <v>1100000</v>
      </c>
      <c r="D27" s="207"/>
      <c r="E27" s="64">
        <f>SUM(C27:D27)</f>
        <v>1100000</v>
      </c>
    </row>
    <row r="28" spans="1:5" x14ac:dyDescent="0.25">
      <c r="A28" s="72">
        <v>534800</v>
      </c>
      <c r="B28" s="26" t="s">
        <v>335</v>
      </c>
      <c r="C28" s="64">
        <v>80000</v>
      </c>
      <c r="D28" s="207"/>
      <c r="E28" s="64">
        <f>SUM(C28:D28)</f>
        <v>80000</v>
      </c>
    </row>
    <row r="29" spans="1:5" x14ac:dyDescent="0.25">
      <c r="A29" s="43"/>
      <c r="B29" s="43" t="s">
        <v>4</v>
      </c>
      <c r="C29" s="65">
        <f>SUM(C25:C28)</f>
        <v>3280000</v>
      </c>
      <c r="D29" s="208">
        <f>SUM(D25:D28)</f>
        <v>0</v>
      </c>
      <c r="E29" s="65">
        <f>SUM(E25:E28)</f>
        <v>3280000</v>
      </c>
    </row>
    <row r="30" spans="1:5" x14ac:dyDescent="0.25">
      <c r="A30" s="72"/>
      <c r="B30" s="44"/>
      <c r="C30" s="64"/>
      <c r="D30" s="207"/>
      <c r="E30" s="64"/>
    </row>
    <row r="31" spans="1:5" x14ac:dyDescent="0.25">
      <c r="A31" s="41"/>
      <c r="B31" s="9"/>
      <c r="C31" s="64"/>
      <c r="D31" s="207"/>
      <c r="E31" s="64"/>
    </row>
    <row r="32" spans="1:5" s="38" customFormat="1" ht="15.6" x14ac:dyDescent="0.3">
      <c r="A32" s="76" t="s">
        <v>221</v>
      </c>
      <c r="B32" s="58"/>
      <c r="C32" s="70">
        <f>SUM(C14+C23+C29)</f>
        <v>31253488</v>
      </c>
      <c r="D32" s="209">
        <f>SUM(D14+D23+D29)</f>
        <v>783067</v>
      </c>
      <c r="E32" s="70">
        <f>SUM(E14+E23+E29)</f>
        <v>32036555</v>
      </c>
    </row>
  </sheetData>
  <mergeCells count="1">
    <mergeCell ref="A4:B4"/>
  </mergeCells>
  <phoneticPr fontId="0" type="noConversion"/>
  <printOptions horizontalCentered="1"/>
  <pageMargins left="0.75" right="0.75" top="1" bottom="1" header="0.5" footer="0.5"/>
  <pageSetup scale="77" firstPageNumber="57" orientation="portrait" useFirstPageNumber="1" r:id="rId1"/>
  <headerFooter alignWithMargins="0">
    <oddFooter>&amp;C&amp;"Arial,Bold"&amp;P</oddFooter>
  </headerFooter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E49"/>
  <sheetViews>
    <sheetView topLeftCell="A4" workbookViewId="0">
      <selection activeCell="D13" sqref="D13"/>
    </sheetView>
  </sheetViews>
  <sheetFormatPr defaultRowHeight="13.2" x14ac:dyDescent="0.25"/>
  <cols>
    <col min="1" max="1" width="11.6640625" customWidth="1"/>
    <col min="2" max="2" width="52.6640625" customWidth="1"/>
    <col min="3" max="3" width="17.6640625" customWidth="1"/>
    <col min="4" max="4" width="17.6640625" style="215" customWidth="1"/>
    <col min="5" max="5" width="17.6640625" customWidth="1"/>
  </cols>
  <sheetData>
    <row r="1" spans="1:5" ht="15.6" x14ac:dyDescent="0.3">
      <c r="A1" s="5" t="s">
        <v>261</v>
      </c>
    </row>
    <row r="2" spans="1:5" ht="15.6" x14ac:dyDescent="0.3">
      <c r="A2" s="5" t="s">
        <v>510</v>
      </c>
    </row>
    <row r="3" spans="1:5" ht="13.8" thickBot="1" x14ac:dyDescent="0.3"/>
    <row r="4" spans="1:5" ht="15.6" x14ac:dyDescent="0.3">
      <c r="A4" s="413" t="s">
        <v>208</v>
      </c>
      <c r="B4" s="414"/>
      <c r="C4" s="94" t="s">
        <v>483</v>
      </c>
      <c r="D4" s="356"/>
      <c r="E4" s="362" t="s">
        <v>511</v>
      </c>
    </row>
    <row r="5" spans="1:5" ht="15.6" x14ac:dyDescent="0.3">
      <c r="A5" s="60"/>
      <c r="B5" s="61"/>
      <c r="C5" s="93" t="s">
        <v>345</v>
      </c>
      <c r="D5" s="358"/>
      <c r="E5" s="363" t="s">
        <v>342</v>
      </c>
    </row>
    <row r="6" spans="1:5" ht="16.2" thickBot="1" x14ac:dyDescent="0.35">
      <c r="A6" s="13"/>
      <c r="B6" s="14"/>
      <c r="C6" s="14" t="s">
        <v>290</v>
      </c>
      <c r="D6" s="360" t="s">
        <v>493</v>
      </c>
      <c r="E6" s="364" t="s">
        <v>290</v>
      </c>
    </row>
    <row r="7" spans="1:5" ht="13.8" x14ac:dyDescent="0.25">
      <c r="A7" s="62">
        <v>72310</v>
      </c>
      <c r="B7" s="78" t="s">
        <v>216</v>
      </c>
      <c r="C7" s="25"/>
      <c r="D7" s="216"/>
      <c r="E7" s="25"/>
    </row>
    <row r="8" spans="1:5" x14ac:dyDescent="0.25">
      <c r="A8" s="20">
        <v>516110</v>
      </c>
      <c r="B8" s="26" t="s">
        <v>209</v>
      </c>
      <c r="C8" s="64">
        <v>59150</v>
      </c>
      <c r="D8" s="207">
        <f>200+395-340</f>
        <v>255</v>
      </c>
      <c r="E8" s="64">
        <f>SUM(C8:D8)</f>
        <v>59405</v>
      </c>
    </row>
    <row r="9" spans="1:5" x14ac:dyDescent="0.25">
      <c r="A9" s="20">
        <v>516900</v>
      </c>
      <c r="B9" s="26" t="s">
        <v>496</v>
      </c>
      <c r="C9" s="64">
        <v>187550</v>
      </c>
      <c r="D9" s="207"/>
      <c r="E9" s="64">
        <f>SUM(C9:D9)</f>
        <v>187550</v>
      </c>
    </row>
    <row r="10" spans="1:5" x14ac:dyDescent="0.25">
      <c r="A10" s="6"/>
      <c r="B10" s="6" t="s">
        <v>102</v>
      </c>
      <c r="C10" s="65">
        <f>SUM(C8:C9)</f>
        <v>246700</v>
      </c>
      <c r="D10" s="208">
        <f>SUM(D8:D9)</f>
        <v>255</v>
      </c>
      <c r="E10" s="65">
        <f>SUM(E8:E9)</f>
        <v>246955</v>
      </c>
    </row>
    <row r="11" spans="1:5" x14ac:dyDescent="0.25">
      <c r="A11" s="20"/>
      <c r="B11" s="26"/>
      <c r="C11" s="64"/>
      <c r="D11" s="207"/>
      <c r="E11" s="64"/>
    </row>
    <row r="12" spans="1:5" x14ac:dyDescent="0.25">
      <c r="A12" s="20">
        <v>520100</v>
      </c>
      <c r="B12" s="26" t="s">
        <v>15</v>
      </c>
      <c r="C12" s="64">
        <v>21550</v>
      </c>
      <c r="D12" s="207">
        <v>32</v>
      </c>
      <c r="E12" s="64">
        <f t="shared" ref="E12:E18" si="0">SUM(C12:D12)</f>
        <v>21582</v>
      </c>
    </row>
    <row r="13" spans="1:5" x14ac:dyDescent="0.25">
      <c r="A13" s="20">
        <v>521100</v>
      </c>
      <c r="B13" s="26" t="s">
        <v>20</v>
      </c>
      <c r="C13" s="64">
        <f>-31+17369</f>
        <v>17338</v>
      </c>
      <c r="D13" s="207">
        <v>25</v>
      </c>
      <c r="E13" s="64">
        <f t="shared" si="0"/>
        <v>17363</v>
      </c>
    </row>
    <row r="14" spans="1:5" x14ac:dyDescent="0.25">
      <c r="A14" s="20">
        <v>520700</v>
      </c>
      <c r="B14" s="26" t="s">
        <v>18</v>
      </c>
      <c r="C14" s="64">
        <v>9076</v>
      </c>
      <c r="D14" s="207"/>
      <c r="E14" s="64">
        <f t="shared" si="0"/>
        <v>9076</v>
      </c>
    </row>
    <row r="15" spans="1:5" x14ac:dyDescent="0.25">
      <c r="A15" s="20">
        <v>520600</v>
      </c>
      <c r="B15" s="26" t="s">
        <v>17</v>
      </c>
      <c r="C15" s="64">
        <v>540</v>
      </c>
      <c r="D15" s="207"/>
      <c r="E15" s="64">
        <f t="shared" si="0"/>
        <v>540</v>
      </c>
    </row>
    <row r="16" spans="1:5" x14ac:dyDescent="0.25">
      <c r="A16" s="20">
        <v>520800</v>
      </c>
      <c r="B16" s="26" t="s">
        <v>19</v>
      </c>
      <c r="C16" s="64">
        <v>100</v>
      </c>
      <c r="D16" s="207"/>
      <c r="E16" s="64">
        <f t="shared" si="0"/>
        <v>100</v>
      </c>
    </row>
    <row r="17" spans="1:5" x14ac:dyDescent="0.25">
      <c r="A17" s="20">
        <v>521000</v>
      </c>
      <c r="B17" s="26" t="s">
        <v>211</v>
      </c>
      <c r="C17" s="64">
        <v>380000</v>
      </c>
      <c r="D17" s="207"/>
      <c r="E17" s="64">
        <f t="shared" si="0"/>
        <v>380000</v>
      </c>
    </row>
    <row r="18" spans="1:5" x14ac:dyDescent="0.25">
      <c r="A18" s="20">
        <v>529700</v>
      </c>
      <c r="B18" s="26" t="s">
        <v>196</v>
      </c>
      <c r="C18" s="64">
        <v>36375</v>
      </c>
      <c r="D18" s="207"/>
      <c r="E18" s="64">
        <f t="shared" si="0"/>
        <v>36375</v>
      </c>
    </row>
    <row r="19" spans="1:5" x14ac:dyDescent="0.25">
      <c r="A19" s="6"/>
      <c r="B19" s="6" t="s">
        <v>111</v>
      </c>
      <c r="C19" s="65">
        <f>SUM(C12:C18)</f>
        <v>464979</v>
      </c>
      <c r="D19" s="208">
        <f>SUM(D12:D18)</f>
        <v>57</v>
      </c>
      <c r="E19" s="65">
        <f>SUM(E12:E18)</f>
        <v>465036</v>
      </c>
    </row>
    <row r="20" spans="1:5" x14ac:dyDescent="0.25">
      <c r="A20" s="20"/>
      <c r="B20" s="26"/>
      <c r="C20" s="64"/>
      <c r="D20" s="207"/>
      <c r="E20" s="64"/>
    </row>
    <row r="21" spans="1:5" x14ac:dyDescent="0.25">
      <c r="A21" s="20">
        <v>534000</v>
      </c>
      <c r="B21" s="26" t="s">
        <v>212</v>
      </c>
      <c r="C21" s="64">
        <v>300</v>
      </c>
      <c r="D21" s="207"/>
      <c r="E21" s="64">
        <f t="shared" ref="E21:E26" si="1">SUM(C21:D21)</f>
        <v>300</v>
      </c>
    </row>
    <row r="22" spans="1:5" x14ac:dyDescent="0.25">
      <c r="A22" s="20">
        <v>539900</v>
      </c>
      <c r="B22" s="26" t="s">
        <v>495</v>
      </c>
      <c r="C22" s="64">
        <v>112500</v>
      </c>
      <c r="D22" s="207"/>
      <c r="E22" s="64">
        <f t="shared" si="1"/>
        <v>112500</v>
      </c>
    </row>
    <row r="23" spans="1:5" x14ac:dyDescent="0.25">
      <c r="A23" s="20">
        <v>534800</v>
      </c>
      <c r="B23" s="26" t="s">
        <v>335</v>
      </c>
      <c r="C23" s="64">
        <v>5000</v>
      </c>
      <c r="D23" s="207"/>
      <c r="E23" s="64">
        <f t="shared" si="1"/>
        <v>5000</v>
      </c>
    </row>
    <row r="24" spans="1:5" x14ac:dyDescent="0.25">
      <c r="A24" s="20">
        <v>535100</v>
      </c>
      <c r="B24" s="26" t="s">
        <v>368</v>
      </c>
      <c r="C24" s="64">
        <v>20274</v>
      </c>
      <c r="D24" s="207"/>
      <c r="E24" s="64">
        <f t="shared" si="1"/>
        <v>20274</v>
      </c>
    </row>
    <row r="25" spans="1:5" x14ac:dyDescent="0.25">
      <c r="A25" s="20">
        <v>535520</v>
      </c>
      <c r="B25" s="26" t="s">
        <v>24</v>
      </c>
      <c r="C25" s="64">
        <v>2000</v>
      </c>
      <c r="D25" s="207"/>
      <c r="E25" s="64">
        <f t="shared" si="1"/>
        <v>2000</v>
      </c>
    </row>
    <row r="26" spans="1:5" x14ac:dyDescent="0.25">
      <c r="A26" s="20">
        <v>532000</v>
      </c>
      <c r="B26" s="26" t="s">
        <v>94</v>
      </c>
      <c r="C26" s="64">
        <v>27000</v>
      </c>
      <c r="D26" s="207"/>
      <c r="E26" s="64">
        <f t="shared" si="1"/>
        <v>27000</v>
      </c>
    </row>
    <row r="27" spans="1:5" x14ac:dyDescent="0.25">
      <c r="A27" s="6"/>
      <c r="B27" s="6" t="s">
        <v>4</v>
      </c>
      <c r="C27" s="65">
        <f>SUM(C21:C26)</f>
        <v>167074</v>
      </c>
      <c r="D27" s="208">
        <f>SUM(D21:D26)</f>
        <v>0</v>
      </c>
      <c r="E27" s="65">
        <f>SUM(E21:E26)</f>
        <v>167074</v>
      </c>
    </row>
    <row r="28" spans="1:5" x14ac:dyDescent="0.25">
      <c r="A28" s="20"/>
      <c r="B28" s="26"/>
      <c r="C28" s="64"/>
      <c r="D28" s="207"/>
      <c r="E28" s="64"/>
    </row>
    <row r="29" spans="1:5" x14ac:dyDescent="0.25">
      <c r="A29" s="20">
        <v>542200</v>
      </c>
      <c r="B29" s="26" t="s">
        <v>25</v>
      </c>
      <c r="C29" s="64">
        <v>2000</v>
      </c>
      <c r="D29" s="207"/>
      <c r="E29" s="64">
        <f>SUM(C29:D29)</f>
        <v>2000</v>
      </c>
    </row>
    <row r="30" spans="1:5" x14ac:dyDescent="0.25">
      <c r="A30" s="20">
        <v>543500</v>
      </c>
      <c r="B30" s="26" t="s">
        <v>6</v>
      </c>
      <c r="C30" s="64">
        <v>1000</v>
      </c>
      <c r="D30" s="207"/>
      <c r="E30" s="64">
        <f>SUM(C30:D30)</f>
        <v>1000</v>
      </c>
    </row>
    <row r="31" spans="1:5" x14ac:dyDescent="0.25">
      <c r="A31" s="6"/>
      <c r="B31" s="6" t="s">
        <v>9</v>
      </c>
      <c r="C31" s="65">
        <f>SUM(C29:C30)</f>
        <v>3000</v>
      </c>
      <c r="D31" s="208">
        <f>SUM(D29:D30)</f>
        <v>0</v>
      </c>
      <c r="E31" s="65">
        <f>SUM(E29:E30)</f>
        <v>3000</v>
      </c>
    </row>
    <row r="32" spans="1:5" x14ac:dyDescent="0.25">
      <c r="A32" s="20"/>
      <c r="B32" s="26"/>
      <c r="C32" s="64"/>
      <c r="D32" s="207"/>
      <c r="E32" s="64"/>
    </row>
    <row r="33" spans="1:5" x14ac:dyDescent="0.25">
      <c r="A33" s="20">
        <v>551300</v>
      </c>
      <c r="B33" s="26" t="s">
        <v>500</v>
      </c>
      <c r="C33" s="64">
        <v>1215000</v>
      </c>
      <c r="D33" s="207">
        <v>100000</v>
      </c>
      <c r="E33" s="64">
        <f>SUM(C33:D33)</f>
        <v>1315000</v>
      </c>
    </row>
    <row r="34" spans="1:5" x14ac:dyDescent="0.25">
      <c r="A34" s="20">
        <v>551505</v>
      </c>
      <c r="B34" s="26" t="s">
        <v>501</v>
      </c>
      <c r="C34" s="64">
        <v>400000</v>
      </c>
      <c r="D34" s="207"/>
      <c r="E34" s="64">
        <f>SUM(C34:D34)</f>
        <v>400000</v>
      </c>
    </row>
    <row r="35" spans="1:5" x14ac:dyDescent="0.25">
      <c r="A35" s="20">
        <v>552500</v>
      </c>
      <c r="B35" s="26" t="s">
        <v>213</v>
      </c>
      <c r="C35" s="64">
        <v>3843161</v>
      </c>
      <c r="D35" s="207">
        <v>-100000</v>
      </c>
      <c r="E35" s="64">
        <f>SUM(C35:D35)</f>
        <v>3743161</v>
      </c>
    </row>
    <row r="36" spans="1:5" x14ac:dyDescent="0.25">
      <c r="A36" s="20">
        <v>559100</v>
      </c>
      <c r="B36" s="26" t="s">
        <v>494</v>
      </c>
      <c r="C36" s="64">
        <v>693092</v>
      </c>
      <c r="D36" s="207">
        <v>68000</v>
      </c>
      <c r="E36" s="64">
        <f>SUM(C36:D36)</f>
        <v>761092</v>
      </c>
    </row>
    <row r="37" spans="1:5" x14ac:dyDescent="0.25">
      <c r="A37" s="20">
        <v>559900</v>
      </c>
      <c r="B37" s="26" t="s">
        <v>502</v>
      </c>
      <c r="C37" s="64">
        <v>33000</v>
      </c>
      <c r="D37" s="207"/>
      <c r="E37" s="64">
        <f>SUM(C37:D37)</f>
        <v>33000</v>
      </c>
    </row>
    <row r="38" spans="1:5" x14ac:dyDescent="0.25">
      <c r="A38" s="9"/>
      <c r="B38" s="6" t="s">
        <v>12</v>
      </c>
      <c r="C38" s="65">
        <f>SUM(C33:C37)</f>
        <v>6184253</v>
      </c>
      <c r="D38" s="208">
        <f>SUM(D33:D37)</f>
        <v>68000</v>
      </c>
      <c r="E38" s="65">
        <f>SUM(E33:E37)</f>
        <v>6252253</v>
      </c>
    </row>
    <row r="39" spans="1:5" x14ac:dyDescent="0.25">
      <c r="A39" s="9"/>
      <c r="B39" s="9"/>
      <c r="C39" s="64"/>
      <c r="D39" s="207"/>
      <c r="E39" s="64"/>
    </row>
    <row r="40" spans="1:5" x14ac:dyDescent="0.25">
      <c r="A40" s="9"/>
      <c r="B40" s="9"/>
      <c r="C40" s="64"/>
      <c r="D40" s="207"/>
      <c r="E40" s="64"/>
    </row>
    <row r="41" spans="1:5" s="23" customFormat="1" ht="15.6" x14ac:dyDescent="0.3">
      <c r="A41" s="76" t="s">
        <v>222</v>
      </c>
      <c r="B41" s="12"/>
      <c r="C41" s="70">
        <f>SUM(C10+C19+C27+C31+C38)</f>
        <v>7066006</v>
      </c>
      <c r="D41" s="209">
        <f>SUM(D10+D19+D27+D31+D38)</f>
        <v>68312</v>
      </c>
      <c r="E41" s="70">
        <f>SUM(E10+E19+E27+E31+E38)</f>
        <v>7134318</v>
      </c>
    </row>
    <row r="44" spans="1:5" x14ac:dyDescent="0.25">
      <c r="C44" s="56"/>
    </row>
    <row r="49" spans="5:5" x14ac:dyDescent="0.25">
      <c r="E49" s="56"/>
    </row>
  </sheetData>
  <mergeCells count="1">
    <mergeCell ref="A4:B4"/>
  </mergeCells>
  <phoneticPr fontId="0" type="noConversion"/>
  <printOptions horizontalCentered="1"/>
  <pageMargins left="0.75" right="0.75" top="1" bottom="1" header="0.5" footer="0.5"/>
  <pageSetup scale="77" firstPageNumber="58" orientation="portrait" useFirstPageNumber="1" r:id="rId1"/>
  <headerFooter alignWithMargins="0">
    <oddFooter>&amp;C&amp;"Arial,Bold"&amp;P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7"/>
  <sheetViews>
    <sheetView workbookViewId="0">
      <selection activeCell="D24" sqref="D24"/>
    </sheetView>
  </sheetViews>
  <sheetFormatPr defaultRowHeight="13.2" x14ac:dyDescent="0.25"/>
  <cols>
    <col min="1" max="1" width="11.6640625" customWidth="1"/>
    <col min="2" max="2" width="52.6640625" customWidth="1"/>
    <col min="3" max="3" width="17.6640625" customWidth="1"/>
    <col min="4" max="4" width="15.44140625" style="215" customWidth="1"/>
    <col min="5" max="6" width="17.6640625" customWidth="1"/>
    <col min="10" max="10" width="10.33203125" bestFit="1" customWidth="1"/>
  </cols>
  <sheetData>
    <row r="1" spans="1:9" ht="15.6" x14ac:dyDescent="0.3">
      <c r="A1" s="5" t="s">
        <v>261</v>
      </c>
    </row>
    <row r="2" spans="1:9" ht="15.6" x14ac:dyDescent="0.3">
      <c r="A2" s="5" t="s">
        <v>510</v>
      </c>
    </row>
    <row r="3" spans="1:9" ht="13.8" thickBot="1" x14ac:dyDescent="0.3"/>
    <row r="4" spans="1:9" ht="15.6" x14ac:dyDescent="0.3">
      <c r="A4" s="413" t="s">
        <v>243</v>
      </c>
      <c r="B4" s="415"/>
      <c r="C4" s="94" t="s">
        <v>483</v>
      </c>
      <c r="D4" s="356"/>
      <c r="E4" s="362" t="s">
        <v>511</v>
      </c>
    </row>
    <row r="5" spans="1:9" ht="15.6" x14ac:dyDescent="0.3">
      <c r="A5" s="60"/>
      <c r="B5" s="61"/>
      <c r="C5" s="93" t="s">
        <v>345</v>
      </c>
      <c r="D5" s="358"/>
      <c r="E5" s="363" t="s">
        <v>342</v>
      </c>
    </row>
    <row r="6" spans="1:9" ht="16.2" thickBot="1" x14ac:dyDescent="0.35">
      <c r="A6" s="13"/>
      <c r="B6" s="14"/>
      <c r="C6" s="14" t="s">
        <v>290</v>
      </c>
      <c r="D6" s="360" t="s">
        <v>493</v>
      </c>
      <c r="E6" s="364" t="s">
        <v>290</v>
      </c>
    </row>
    <row r="7" spans="1:9" ht="13.8" x14ac:dyDescent="0.25">
      <c r="A7" s="62">
        <v>72210</v>
      </c>
      <c r="B7" s="78" t="s">
        <v>37</v>
      </c>
      <c r="C7" s="101"/>
      <c r="D7" s="216"/>
      <c r="E7" s="116"/>
    </row>
    <row r="8" spans="1:9" x14ac:dyDescent="0.25">
      <c r="A8" s="57">
        <v>510500</v>
      </c>
      <c r="B8" s="9" t="s">
        <v>240</v>
      </c>
      <c r="C8" s="64">
        <v>1756199</v>
      </c>
      <c r="D8" s="207">
        <f>8031+40190-39961</f>
        <v>8260</v>
      </c>
      <c r="E8" s="117">
        <f>SUM(C8:D8)</f>
        <v>1764459</v>
      </c>
      <c r="F8" s="165"/>
      <c r="I8" s="56"/>
    </row>
    <row r="9" spans="1:9" x14ac:dyDescent="0.25">
      <c r="A9" s="57">
        <v>512900</v>
      </c>
      <c r="B9" s="9" t="s">
        <v>241</v>
      </c>
      <c r="C9" s="64">
        <v>4734594</v>
      </c>
      <c r="D9" s="207">
        <f>21650+108348-107732</f>
        <v>22266</v>
      </c>
      <c r="E9" s="117">
        <f t="shared" ref="E9:E16" si="0">SUM(C9:D9)</f>
        <v>4756860</v>
      </c>
    </row>
    <row r="10" spans="1:9" x14ac:dyDescent="0.25">
      <c r="A10" s="57">
        <v>516100</v>
      </c>
      <c r="B10" s="9" t="s">
        <v>56</v>
      </c>
      <c r="C10" s="64">
        <v>475752</v>
      </c>
      <c r="D10" s="207">
        <f>-3602+4900</f>
        <v>1298</v>
      </c>
      <c r="E10" s="117">
        <f t="shared" si="0"/>
        <v>477050</v>
      </c>
      <c r="I10" s="56"/>
    </row>
    <row r="11" spans="1:9" x14ac:dyDescent="0.25">
      <c r="A11" s="57">
        <v>516200</v>
      </c>
      <c r="B11" s="9" t="s">
        <v>14</v>
      </c>
      <c r="C11" s="64">
        <v>44053</v>
      </c>
      <c r="D11" s="207">
        <f>-334+454</f>
        <v>120</v>
      </c>
      <c r="E11" s="117">
        <f t="shared" si="0"/>
        <v>44173</v>
      </c>
      <c r="I11" s="56"/>
    </row>
    <row r="12" spans="1:9" x14ac:dyDescent="0.25">
      <c r="A12" s="57">
        <v>516300</v>
      </c>
      <c r="B12" s="9" t="s">
        <v>107</v>
      </c>
      <c r="C12" s="64">
        <v>2217771</v>
      </c>
      <c r="D12" s="207">
        <f>-16790+22842</f>
        <v>6052</v>
      </c>
      <c r="E12" s="117">
        <f t="shared" si="0"/>
        <v>2223823</v>
      </c>
    </row>
    <row r="13" spans="1:9" x14ac:dyDescent="0.25">
      <c r="A13" s="57">
        <v>511700</v>
      </c>
      <c r="B13" s="9" t="s">
        <v>108</v>
      </c>
      <c r="C13" s="64">
        <v>102000</v>
      </c>
      <c r="D13" s="207"/>
      <c r="E13" s="117">
        <f t="shared" si="0"/>
        <v>102000</v>
      </c>
    </row>
    <row r="14" spans="1:9" x14ac:dyDescent="0.25">
      <c r="A14" s="57">
        <v>512700</v>
      </c>
      <c r="B14" s="42" t="s">
        <v>109</v>
      </c>
      <c r="C14" s="64">
        <v>45200</v>
      </c>
      <c r="D14" s="207"/>
      <c r="E14" s="117">
        <f t="shared" si="0"/>
        <v>45200</v>
      </c>
    </row>
    <row r="15" spans="1:9" x14ac:dyDescent="0.25">
      <c r="A15" s="57">
        <v>513200</v>
      </c>
      <c r="B15" s="9" t="s">
        <v>242</v>
      </c>
      <c r="C15" s="64">
        <v>92804</v>
      </c>
      <c r="D15" s="207"/>
      <c r="E15" s="117">
        <f t="shared" si="0"/>
        <v>92804</v>
      </c>
    </row>
    <row r="16" spans="1:9" x14ac:dyDescent="0.25">
      <c r="A16" s="57">
        <v>513600</v>
      </c>
      <c r="B16" s="26" t="s">
        <v>276</v>
      </c>
      <c r="C16" s="64">
        <v>44344</v>
      </c>
      <c r="D16" s="207"/>
      <c r="E16" s="117">
        <f t="shared" si="0"/>
        <v>44344</v>
      </c>
    </row>
    <row r="17" spans="1:10" x14ac:dyDescent="0.25">
      <c r="A17" s="57">
        <v>516700</v>
      </c>
      <c r="B17" s="9" t="s">
        <v>70</v>
      </c>
      <c r="C17" s="64">
        <v>212052</v>
      </c>
      <c r="D17" s="207"/>
      <c r="E17" s="117">
        <f>SUM(C17:D17)</f>
        <v>212052</v>
      </c>
    </row>
    <row r="18" spans="1:10" x14ac:dyDescent="0.25">
      <c r="A18" s="57"/>
      <c r="B18" s="6" t="s">
        <v>102</v>
      </c>
      <c r="C18" s="65">
        <f>SUM(C8:C17)</f>
        <v>9724769</v>
      </c>
      <c r="D18" s="208">
        <f>SUM(D8:D17)</f>
        <v>37996</v>
      </c>
      <c r="E18" s="118">
        <f>SUM(E8:E17)</f>
        <v>9762765</v>
      </c>
      <c r="I18" s="56"/>
      <c r="J18" s="56"/>
    </row>
    <row r="19" spans="1:10" x14ac:dyDescent="0.25">
      <c r="A19" s="57"/>
      <c r="B19" s="9"/>
      <c r="C19" s="64"/>
      <c r="D19" s="207"/>
      <c r="E19" s="117"/>
      <c r="J19" s="56"/>
    </row>
    <row r="20" spans="1:10" x14ac:dyDescent="0.25">
      <c r="A20" s="57">
        <v>520200</v>
      </c>
      <c r="B20" s="9" t="s">
        <v>157</v>
      </c>
      <c r="C20" s="64">
        <v>86149</v>
      </c>
      <c r="D20" s="207"/>
      <c r="E20" s="117">
        <f t="shared" ref="E20:E27" si="1">SUM(C20:D20)</f>
        <v>86149</v>
      </c>
    </row>
    <row r="21" spans="1:10" x14ac:dyDescent="0.25">
      <c r="A21" s="57">
        <v>520100</v>
      </c>
      <c r="B21" s="9" t="s">
        <v>15</v>
      </c>
      <c r="C21" s="64">
        <v>518740</v>
      </c>
      <c r="D21" s="207">
        <f>2372+11871-11804</f>
        <v>2439</v>
      </c>
      <c r="E21" s="117">
        <f t="shared" si="1"/>
        <v>521179</v>
      </c>
    </row>
    <row r="22" spans="1:10" x14ac:dyDescent="0.25">
      <c r="A22" s="57">
        <v>521100</v>
      </c>
      <c r="B22" s="9" t="s">
        <v>20</v>
      </c>
      <c r="C22" s="64">
        <v>155974</v>
      </c>
      <c r="D22" s="207">
        <f>-873+1606</f>
        <v>733</v>
      </c>
      <c r="E22" s="117">
        <f t="shared" si="1"/>
        <v>156707</v>
      </c>
      <c r="G22" s="56"/>
    </row>
    <row r="23" spans="1:10" x14ac:dyDescent="0.25">
      <c r="A23" s="57">
        <v>520400</v>
      </c>
      <c r="B23" s="9" t="s">
        <v>16</v>
      </c>
      <c r="C23" s="64">
        <v>594885</v>
      </c>
      <c r="D23" s="207">
        <f>2720+23603-13536</f>
        <v>12787</v>
      </c>
      <c r="E23" s="117">
        <f t="shared" si="1"/>
        <v>607672</v>
      </c>
      <c r="G23" s="56"/>
    </row>
    <row r="24" spans="1:10" x14ac:dyDescent="0.25">
      <c r="A24" s="57">
        <v>520700</v>
      </c>
      <c r="B24" s="9" t="s">
        <v>18</v>
      </c>
      <c r="C24" s="64">
        <v>894392</v>
      </c>
      <c r="D24" s="207"/>
      <c r="E24" s="117">
        <f t="shared" si="1"/>
        <v>894392</v>
      </c>
      <c r="G24" s="56"/>
    </row>
    <row r="25" spans="1:10" x14ac:dyDescent="0.25">
      <c r="A25" s="57">
        <v>520600</v>
      </c>
      <c r="B25" s="9" t="s">
        <v>17</v>
      </c>
      <c r="C25" s="64">
        <v>16827</v>
      </c>
      <c r="D25" s="207"/>
      <c r="E25" s="117">
        <f t="shared" si="1"/>
        <v>16827</v>
      </c>
    </row>
    <row r="26" spans="1:10" x14ac:dyDescent="0.25">
      <c r="A26" s="57">
        <v>520800</v>
      </c>
      <c r="B26" s="9" t="s">
        <v>19</v>
      </c>
      <c r="C26" s="64">
        <v>5554</v>
      </c>
      <c r="D26" s="207"/>
      <c r="E26" s="117">
        <f t="shared" si="1"/>
        <v>5554</v>
      </c>
    </row>
    <row r="27" spans="1:10" x14ac:dyDescent="0.25">
      <c r="A27" s="57">
        <v>529700</v>
      </c>
      <c r="B27" s="9" t="s">
        <v>196</v>
      </c>
      <c r="C27" s="64">
        <v>26796</v>
      </c>
      <c r="D27" s="207"/>
      <c r="E27" s="117">
        <f t="shared" si="1"/>
        <v>26796</v>
      </c>
    </row>
    <row r="28" spans="1:10" x14ac:dyDescent="0.25">
      <c r="A28" s="57"/>
      <c r="B28" s="6" t="s">
        <v>111</v>
      </c>
      <c r="C28" s="65">
        <f>SUM(C20:C27)</f>
        <v>2299317</v>
      </c>
      <c r="D28" s="208">
        <f>SUM(D20:D27)</f>
        <v>15959</v>
      </c>
      <c r="E28" s="118">
        <f>SUM(E20:E27)</f>
        <v>2315276</v>
      </c>
    </row>
    <row r="29" spans="1:10" x14ac:dyDescent="0.25">
      <c r="A29" s="57"/>
      <c r="B29" s="6"/>
      <c r="C29" s="64"/>
      <c r="D29" s="207"/>
      <c r="E29" s="117"/>
    </row>
    <row r="30" spans="1:10" x14ac:dyDescent="0.25">
      <c r="A30" s="20">
        <v>531200</v>
      </c>
      <c r="B30" s="8" t="s">
        <v>59</v>
      </c>
      <c r="C30" s="64">
        <v>837000</v>
      </c>
      <c r="D30" s="207">
        <v>25000</v>
      </c>
      <c r="E30" s="117">
        <f>SUM(C30:D30)</f>
        <v>862000</v>
      </c>
    </row>
    <row r="31" spans="1:10" x14ac:dyDescent="0.25">
      <c r="A31" s="10"/>
      <c r="B31" s="6" t="s">
        <v>4</v>
      </c>
      <c r="C31" s="65">
        <f>SUM(C30)</f>
        <v>837000</v>
      </c>
      <c r="D31" s="208">
        <f>SUM(D30)</f>
        <v>25000</v>
      </c>
      <c r="E31" s="118">
        <f>SUM(E30)</f>
        <v>862000</v>
      </c>
    </row>
    <row r="32" spans="1:10" x14ac:dyDescent="0.25">
      <c r="A32" s="57"/>
      <c r="B32" s="6"/>
      <c r="C32" s="64"/>
      <c r="D32" s="207"/>
      <c r="E32" s="117"/>
    </row>
    <row r="33" spans="1:5" s="2" customFormat="1" x14ac:dyDescent="0.25">
      <c r="A33" s="20">
        <v>552400</v>
      </c>
      <c r="B33" s="8" t="s">
        <v>11</v>
      </c>
      <c r="C33" s="64">
        <v>45000</v>
      </c>
      <c r="D33" s="207"/>
      <c r="E33" s="117">
        <f>SUM(C33:D33)</f>
        <v>45000</v>
      </c>
    </row>
    <row r="34" spans="1:5" s="1" customFormat="1" x14ac:dyDescent="0.25">
      <c r="A34" s="10"/>
      <c r="B34" s="6" t="s">
        <v>12</v>
      </c>
      <c r="C34" s="65">
        <f>SUM(C33)</f>
        <v>45000</v>
      </c>
      <c r="D34" s="208">
        <f>SUM(D33)</f>
        <v>0</v>
      </c>
      <c r="E34" s="118">
        <f>SUM(E33)</f>
        <v>45000</v>
      </c>
    </row>
    <row r="35" spans="1:5" x14ac:dyDescent="0.25">
      <c r="A35" s="9"/>
      <c r="B35" s="9"/>
      <c r="C35" s="64"/>
      <c r="D35" s="207"/>
      <c r="E35" s="117"/>
    </row>
    <row r="36" spans="1:5" x14ac:dyDescent="0.25">
      <c r="A36" s="9"/>
      <c r="B36" s="9"/>
      <c r="C36" s="64"/>
      <c r="D36" s="207"/>
      <c r="E36" s="119"/>
    </row>
    <row r="37" spans="1:5" s="23" customFormat="1" ht="15.6" x14ac:dyDescent="0.3">
      <c r="A37" s="12" t="s">
        <v>244</v>
      </c>
      <c r="B37" s="12"/>
      <c r="C37" s="70">
        <f>SUM(C18+C28+C31+C34)</f>
        <v>12906086</v>
      </c>
      <c r="D37" s="209">
        <f>SUM(D18+D28+D31+D34)</f>
        <v>78955</v>
      </c>
      <c r="E37" s="70">
        <f>SUM(E18+E28+E31+E34)</f>
        <v>12985041</v>
      </c>
    </row>
  </sheetData>
  <mergeCells count="1">
    <mergeCell ref="A4:B4"/>
  </mergeCells>
  <phoneticPr fontId="0" type="noConversion"/>
  <printOptions horizontalCentered="1"/>
  <pageMargins left="0.75" right="0.75" top="1" bottom="1" header="0.5" footer="0.5"/>
  <pageSetup scale="79" firstPageNumber="5" orientation="portrait" useFirstPageNumber="1" r:id="rId1"/>
  <headerFooter alignWithMargins="0">
    <oddFooter>&amp;C&amp;"Arial,Bold"&amp;P</oddFooter>
  </headerFooter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N37"/>
  <sheetViews>
    <sheetView workbookViewId="0">
      <selection activeCell="D17" sqref="D17"/>
    </sheetView>
  </sheetViews>
  <sheetFormatPr defaultRowHeight="13.2" x14ac:dyDescent="0.25"/>
  <cols>
    <col min="1" max="1" width="11.6640625" customWidth="1"/>
    <col min="2" max="2" width="52.6640625" customWidth="1"/>
    <col min="3" max="3" width="17.6640625" customWidth="1"/>
    <col min="4" max="4" width="17.6640625" style="215" customWidth="1"/>
    <col min="5" max="5" width="17.6640625" customWidth="1"/>
  </cols>
  <sheetData>
    <row r="1" spans="1:14" ht="15.6" x14ac:dyDescent="0.3">
      <c r="A1" s="5" t="s">
        <v>261</v>
      </c>
    </row>
    <row r="2" spans="1:14" ht="15.6" x14ac:dyDescent="0.3">
      <c r="A2" s="5" t="s">
        <v>510</v>
      </c>
    </row>
    <row r="3" spans="1:14" ht="13.8" thickBot="1" x14ac:dyDescent="0.3"/>
    <row r="4" spans="1:14" ht="15.6" x14ac:dyDescent="0.3">
      <c r="A4" s="413" t="s">
        <v>269</v>
      </c>
      <c r="B4" s="414"/>
      <c r="C4" s="94" t="s">
        <v>483</v>
      </c>
      <c r="D4" s="356"/>
      <c r="E4" s="362" t="s">
        <v>511</v>
      </c>
    </row>
    <row r="5" spans="1:14" ht="15.6" x14ac:dyDescent="0.3">
      <c r="A5" s="60"/>
      <c r="B5" s="61"/>
      <c r="C5" s="93" t="s">
        <v>345</v>
      </c>
      <c r="D5" s="358"/>
      <c r="E5" s="363" t="s">
        <v>342</v>
      </c>
    </row>
    <row r="6" spans="1:14" ht="16.2" thickBot="1" x14ac:dyDescent="0.35">
      <c r="A6" s="13"/>
      <c r="B6" s="14"/>
      <c r="C6" s="14" t="s">
        <v>290</v>
      </c>
      <c r="D6" s="360" t="s">
        <v>493</v>
      </c>
      <c r="E6" s="364" t="s">
        <v>290</v>
      </c>
    </row>
    <row r="7" spans="1:14" ht="13.8" x14ac:dyDescent="0.25">
      <c r="A7" s="62">
        <v>72320</v>
      </c>
      <c r="B7" s="78" t="s">
        <v>216</v>
      </c>
      <c r="C7" s="25"/>
      <c r="D7" s="216"/>
      <c r="E7" s="25"/>
    </row>
    <row r="8" spans="1:14" x14ac:dyDescent="0.25">
      <c r="A8" s="20">
        <v>516100</v>
      </c>
      <c r="B8" s="26" t="s">
        <v>499</v>
      </c>
      <c r="C8" s="64">
        <v>123090</v>
      </c>
      <c r="D8" s="207">
        <f>-932+1268</f>
        <v>336</v>
      </c>
      <c r="E8" s="64">
        <f>SUM(C8:D8)</f>
        <v>123426</v>
      </c>
      <c r="J8" s="56"/>
    </row>
    <row r="9" spans="1:14" x14ac:dyDescent="0.25">
      <c r="A9" s="20">
        <v>510100</v>
      </c>
      <c r="B9" s="26" t="s">
        <v>217</v>
      </c>
      <c r="C9" s="64">
        <v>247011</v>
      </c>
      <c r="D9" s="207"/>
      <c r="E9" s="64">
        <f>SUM(C9:D9)</f>
        <v>247011</v>
      </c>
    </row>
    <row r="10" spans="1:14" x14ac:dyDescent="0.25">
      <c r="A10" s="20">
        <v>510300</v>
      </c>
      <c r="B10" s="26" t="s">
        <v>497</v>
      </c>
      <c r="C10" s="64">
        <f>226579-112600-4074</f>
        <v>109905</v>
      </c>
      <c r="D10" s="207">
        <f>-1000+2515-100-2501</f>
        <v>-1086</v>
      </c>
      <c r="E10" s="64">
        <f>SUM(C10:D10)</f>
        <v>108819</v>
      </c>
      <c r="H10" s="56"/>
    </row>
    <row r="11" spans="1:14" x14ac:dyDescent="0.25">
      <c r="A11" s="6"/>
      <c r="B11" s="6" t="s">
        <v>102</v>
      </c>
      <c r="C11" s="65">
        <f>SUM(C8:C10)</f>
        <v>480006</v>
      </c>
      <c r="D11" s="208">
        <f>SUM(D8:D10)</f>
        <v>-750</v>
      </c>
      <c r="E11" s="65">
        <f>SUM(E8:E10)</f>
        <v>479256</v>
      </c>
      <c r="K11" s="56"/>
    </row>
    <row r="12" spans="1:14" x14ac:dyDescent="0.25">
      <c r="A12" s="20"/>
      <c r="B12" s="26"/>
      <c r="C12" s="64"/>
      <c r="D12" s="207"/>
      <c r="E12" s="64"/>
      <c r="N12" s="56"/>
    </row>
    <row r="13" spans="1:14" x14ac:dyDescent="0.25">
      <c r="A13" s="20">
        <v>520200</v>
      </c>
      <c r="B13" s="26" t="s">
        <v>157</v>
      </c>
      <c r="C13" s="64">
        <v>14400</v>
      </c>
      <c r="D13" s="207"/>
      <c r="E13" s="64">
        <f t="shared" ref="E13:E21" si="0">SUM(C13:D13)</f>
        <v>14400</v>
      </c>
      <c r="I13" s="56"/>
    </row>
    <row r="14" spans="1:14" x14ac:dyDescent="0.25">
      <c r="A14" s="20">
        <v>520100</v>
      </c>
      <c r="B14" s="26" t="s">
        <v>15</v>
      </c>
      <c r="C14" s="64">
        <v>37573</v>
      </c>
      <c r="D14" s="207">
        <v>177</v>
      </c>
      <c r="E14" s="64">
        <f t="shared" si="0"/>
        <v>37750</v>
      </c>
    </row>
    <row r="15" spans="1:14" x14ac:dyDescent="0.25">
      <c r="A15" s="20">
        <v>521100</v>
      </c>
      <c r="B15" s="26" t="s">
        <v>20</v>
      </c>
      <c r="C15" s="64">
        <v>15981</v>
      </c>
      <c r="D15" s="207">
        <f>-89+165</f>
        <v>76</v>
      </c>
      <c r="E15" s="64">
        <f t="shared" si="0"/>
        <v>16057</v>
      </c>
      <c r="I15" s="56"/>
    </row>
    <row r="16" spans="1:14" x14ac:dyDescent="0.25">
      <c r="A16" s="20">
        <v>520400</v>
      </c>
      <c r="B16" s="26" t="s">
        <v>16</v>
      </c>
      <c r="C16" s="64">
        <f>-8424+32776</f>
        <v>24352</v>
      </c>
      <c r="D16" s="207">
        <f>-554+966</f>
        <v>412</v>
      </c>
      <c r="E16" s="64">
        <f t="shared" si="0"/>
        <v>24764</v>
      </c>
      <c r="J16" s="56"/>
    </row>
    <row r="17" spans="1:5" x14ac:dyDescent="0.25">
      <c r="A17" s="20">
        <v>520700</v>
      </c>
      <c r="B17" s="26" t="s">
        <v>18</v>
      </c>
      <c r="C17" s="64">
        <f>-4402+20586</f>
        <v>16184</v>
      </c>
      <c r="D17" s="207"/>
      <c r="E17" s="64">
        <f t="shared" si="0"/>
        <v>16184</v>
      </c>
    </row>
    <row r="18" spans="1:5" x14ac:dyDescent="0.25">
      <c r="A18" s="20">
        <v>520600</v>
      </c>
      <c r="B18" s="26" t="s">
        <v>17</v>
      </c>
      <c r="C18" s="64">
        <f>-59+595</f>
        <v>536</v>
      </c>
      <c r="D18" s="207"/>
      <c r="E18" s="64">
        <f t="shared" si="0"/>
        <v>536</v>
      </c>
    </row>
    <row r="19" spans="1:5" x14ac:dyDescent="0.25">
      <c r="A19" s="20">
        <v>520800</v>
      </c>
      <c r="B19" s="26" t="s">
        <v>19</v>
      </c>
      <c r="C19" s="64">
        <f>-48+2220</f>
        <v>2172</v>
      </c>
      <c r="D19" s="207"/>
      <c r="E19" s="64">
        <f t="shared" si="0"/>
        <v>2172</v>
      </c>
    </row>
    <row r="20" spans="1:5" x14ac:dyDescent="0.25">
      <c r="A20" s="20">
        <v>520900</v>
      </c>
      <c r="B20" s="26" t="s">
        <v>218</v>
      </c>
      <c r="C20" s="64">
        <v>2500</v>
      </c>
      <c r="D20" s="207"/>
      <c r="E20" s="64">
        <f t="shared" si="0"/>
        <v>2500</v>
      </c>
    </row>
    <row r="21" spans="1:5" x14ac:dyDescent="0.25">
      <c r="A21" s="20">
        <v>529700</v>
      </c>
      <c r="B21" s="26" t="s">
        <v>196</v>
      </c>
      <c r="C21" s="64">
        <f>-1275+21714</f>
        <v>20439</v>
      </c>
      <c r="D21" s="207"/>
      <c r="E21" s="64">
        <f t="shared" si="0"/>
        <v>20439</v>
      </c>
    </row>
    <row r="22" spans="1:5" x14ac:dyDescent="0.25">
      <c r="A22" s="6"/>
      <c r="B22" s="6" t="s">
        <v>111</v>
      </c>
      <c r="C22" s="65">
        <f>SUM(C13:C21)</f>
        <v>134137</v>
      </c>
      <c r="D22" s="208">
        <f>SUM(D13:D21)</f>
        <v>665</v>
      </c>
      <c r="E22" s="65">
        <f>SUM(E13:E21)</f>
        <v>134802</v>
      </c>
    </row>
    <row r="23" spans="1:5" x14ac:dyDescent="0.25">
      <c r="A23" s="20"/>
      <c r="B23" s="26"/>
      <c r="C23" s="64"/>
      <c r="D23" s="207"/>
      <c r="E23" s="64"/>
    </row>
    <row r="24" spans="1:5" x14ac:dyDescent="0.25">
      <c r="A24" s="20">
        <v>533600</v>
      </c>
      <c r="B24" s="26" t="s">
        <v>303</v>
      </c>
      <c r="C24" s="64">
        <v>5000</v>
      </c>
      <c r="D24" s="207"/>
      <c r="E24" s="64">
        <f>SUM(C24:D24)</f>
        <v>5000</v>
      </c>
    </row>
    <row r="25" spans="1:5" x14ac:dyDescent="0.25">
      <c r="A25" s="20">
        <v>530700</v>
      </c>
      <c r="B25" s="26" t="s">
        <v>1</v>
      </c>
      <c r="C25" s="64">
        <v>2500</v>
      </c>
      <c r="D25" s="207"/>
      <c r="E25" s="64">
        <f>SUM(C25:D25)</f>
        <v>2500</v>
      </c>
    </row>
    <row r="26" spans="1:5" x14ac:dyDescent="0.25">
      <c r="A26" s="20">
        <v>534800</v>
      </c>
      <c r="B26" s="26" t="s">
        <v>335</v>
      </c>
      <c r="C26" s="64">
        <v>50600</v>
      </c>
      <c r="D26" s="207"/>
      <c r="E26" s="64">
        <f>SUM(C26:D26)</f>
        <v>50600</v>
      </c>
    </row>
    <row r="27" spans="1:5" x14ac:dyDescent="0.25">
      <c r="A27" s="20">
        <v>535500</v>
      </c>
      <c r="B27" s="26" t="s">
        <v>2</v>
      </c>
      <c r="C27" s="64">
        <v>7500</v>
      </c>
      <c r="D27" s="207"/>
      <c r="E27" s="64">
        <f>SUM(C27:D27)</f>
        <v>7500</v>
      </c>
    </row>
    <row r="28" spans="1:5" ht="12.75" customHeight="1" x14ac:dyDescent="0.25">
      <c r="A28" s="20">
        <v>532000</v>
      </c>
      <c r="B28" s="7" t="s">
        <v>94</v>
      </c>
      <c r="C28" s="91">
        <v>5700</v>
      </c>
      <c r="D28" s="220"/>
      <c r="E28" s="64">
        <f>SUM(C28:D28)</f>
        <v>5700</v>
      </c>
    </row>
    <row r="29" spans="1:5" x14ac:dyDescent="0.25">
      <c r="A29" s="6"/>
      <c r="B29" s="6" t="s">
        <v>4</v>
      </c>
      <c r="C29" s="65">
        <f>SUM(C24:C28)</f>
        <v>71300</v>
      </c>
      <c r="D29" s="208">
        <f>SUM(D24:D28)</f>
        <v>0</v>
      </c>
      <c r="E29" s="65">
        <f>SUM(E24:E28)</f>
        <v>71300</v>
      </c>
    </row>
    <row r="30" spans="1:5" x14ac:dyDescent="0.25">
      <c r="A30" s="20"/>
      <c r="B30" s="26"/>
      <c r="C30" s="64"/>
      <c r="D30" s="207"/>
      <c r="E30" s="64"/>
    </row>
    <row r="31" spans="1:5" x14ac:dyDescent="0.25">
      <c r="A31" s="20">
        <v>542200</v>
      </c>
      <c r="B31" s="26" t="s">
        <v>25</v>
      </c>
      <c r="C31" s="64">
        <v>1000</v>
      </c>
      <c r="D31" s="207"/>
      <c r="E31" s="64">
        <f>SUM(C31:D31)</f>
        <v>1000</v>
      </c>
    </row>
    <row r="32" spans="1:5" x14ac:dyDescent="0.25">
      <c r="A32" s="20">
        <v>543500</v>
      </c>
      <c r="B32" s="26" t="s">
        <v>6</v>
      </c>
      <c r="C32" s="64">
        <v>3000</v>
      </c>
      <c r="D32" s="207"/>
      <c r="E32" s="64">
        <f>SUM(C32:D32)</f>
        <v>3000</v>
      </c>
    </row>
    <row r="33" spans="1:5" x14ac:dyDescent="0.25">
      <c r="A33" s="20">
        <v>543700</v>
      </c>
      <c r="B33" s="26" t="s">
        <v>43</v>
      </c>
      <c r="C33" s="64">
        <v>400</v>
      </c>
      <c r="D33" s="207"/>
      <c r="E33" s="64">
        <f>SUM(C33:D33)</f>
        <v>400</v>
      </c>
    </row>
    <row r="34" spans="1:5" x14ac:dyDescent="0.25">
      <c r="A34" s="6"/>
      <c r="B34" s="6" t="s">
        <v>9</v>
      </c>
      <c r="C34" s="65">
        <f>SUM(C31:C33)</f>
        <v>4400</v>
      </c>
      <c r="D34" s="208">
        <f>SUM(D31:D33)</f>
        <v>0</v>
      </c>
      <c r="E34" s="65">
        <f>SUM(E31:E33)</f>
        <v>4400</v>
      </c>
    </row>
    <row r="35" spans="1:5" x14ac:dyDescent="0.25">
      <c r="A35" s="20"/>
      <c r="B35" s="26"/>
      <c r="C35" s="64"/>
      <c r="D35" s="207"/>
      <c r="E35" s="64"/>
    </row>
    <row r="36" spans="1:5" x14ac:dyDescent="0.25">
      <c r="A36" s="9"/>
      <c r="B36" s="9"/>
      <c r="C36" s="64"/>
      <c r="D36" s="207"/>
      <c r="E36" s="64"/>
    </row>
    <row r="37" spans="1:5" s="23" customFormat="1" ht="15.6" x14ac:dyDescent="0.3">
      <c r="A37" s="12" t="s">
        <v>219</v>
      </c>
      <c r="B37" s="12"/>
      <c r="C37" s="70">
        <f>SUM(C11+C22+C29+C34)</f>
        <v>689843</v>
      </c>
      <c r="D37" s="209">
        <f>SUM(D11+D22+D29+D34)</f>
        <v>-85</v>
      </c>
      <c r="E37" s="70">
        <f>SUM(E11+E22+E29+E34)</f>
        <v>689758</v>
      </c>
    </row>
  </sheetData>
  <mergeCells count="1">
    <mergeCell ref="A4:B4"/>
  </mergeCells>
  <phoneticPr fontId="0" type="noConversion"/>
  <printOptions horizontalCentered="1"/>
  <pageMargins left="0.75" right="0.75" top="1" bottom="1" header="0.5" footer="0.5"/>
  <pageSetup scale="77" firstPageNumber="59" orientation="portrait" useFirstPageNumber="1" r:id="rId1"/>
  <headerFooter alignWithMargins="0">
    <oddFooter>&amp;C&amp;"Arial,Bold"&amp;P</oddFooter>
  </headerFooter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F37"/>
  <sheetViews>
    <sheetView workbookViewId="0">
      <selection activeCell="D18" sqref="D18"/>
    </sheetView>
  </sheetViews>
  <sheetFormatPr defaultRowHeight="13.2" x14ac:dyDescent="0.25"/>
  <cols>
    <col min="1" max="1" width="11.6640625" customWidth="1"/>
    <col min="2" max="2" width="52.6640625" customWidth="1"/>
    <col min="3" max="3" width="17.6640625" customWidth="1"/>
    <col min="4" max="4" width="17.6640625" style="215" customWidth="1"/>
    <col min="5" max="6" width="17.6640625" customWidth="1"/>
  </cols>
  <sheetData>
    <row r="1" spans="1:6" ht="15.6" x14ac:dyDescent="0.3">
      <c r="A1" s="5" t="s">
        <v>261</v>
      </c>
    </row>
    <row r="2" spans="1:6" ht="15.6" x14ac:dyDescent="0.3">
      <c r="A2" s="5" t="s">
        <v>510</v>
      </c>
    </row>
    <row r="3" spans="1:6" ht="13.8" thickBot="1" x14ac:dyDescent="0.3"/>
    <row r="4" spans="1:6" ht="15.6" x14ac:dyDescent="0.3">
      <c r="A4" s="413" t="s">
        <v>224</v>
      </c>
      <c r="B4" s="414"/>
      <c r="C4" s="94" t="s">
        <v>483</v>
      </c>
      <c r="D4" s="356"/>
      <c r="E4" s="362" t="s">
        <v>511</v>
      </c>
    </row>
    <row r="5" spans="1:6" ht="15.6" x14ac:dyDescent="0.3">
      <c r="A5" s="60"/>
      <c r="B5" s="61"/>
      <c r="C5" s="93" t="s">
        <v>345</v>
      </c>
      <c r="D5" s="358"/>
      <c r="E5" s="363" t="s">
        <v>342</v>
      </c>
    </row>
    <row r="6" spans="1:6" ht="16.2" thickBot="1" x14ac:dyDescent="0.35">
      <c r="A6" s="13"/>
      <c r="B6" s="14"/>
      <c r="C6" s="14" t="s">
        <v>290</v>
      </c>
      <c r="D6" s="360" t="s">
        <v>493</v>
      </c>
      <c r="E6" s="364" t="s">
        <v>290</v>
      </c>
    </row>
    <row r="7" spans="1:6" ht="13.8" x14ac:dyDescent="0.25">
      <c r="A7" s="62">
        <v>72510</v>
      </c>
      <c r="B7" s="78" t="s">
        <v>223</v>
      </c>
      <c r="C7" s="25"/>
      <c r="D7" s="216"/>
      <c r="E7" s="25"/>
    </row>
    <row r="8" spans="1:6" x14ac:dyDescent="0.25">
      <c r="A8" s="71">
        <v>518975</v>
      </c>
      <c r="B8" s="42" t="s">
        <v>40</v>
      </c>
      <c r="C8" s="64">
        <v>62862</v>
      </c>
      <c r="D8" s="207">
        <f>-352+647</f>
        <v>295</v>
      </c>
      <c r="E8" s="64">
        <f>SUM(C8:D8)</f>
        <v>63157</v>
      </c>
    </row>
    <row r="9" spans="1:6" x14ac:dyDescent="0.25">
      <c r="A9" s="71">
        <v>510500</v>
      </c>
      <c r="B9" s="26" t="s">
        <v>240</v>
      </c>
      <c r="C9" s="64">
        <v>466011</v>
      </c>
      <c r="D9" s="207">
        <f>2131+10664-11524</f>
        <v>1271</v>
      </c>
      <c r="E9" s="64">
        <f>SUM(C9:D9)</f>
        <v>467282</v>
      </c>
      <c r="F9" s="165"/>
    </row>
    <row r="10" spans="1:6" x14ac:dyDescent="0.25">
      <c r="A10" s="71">
        <v>516100</v>
      </c>
      <c r="B10" s="42" t="s">
        <v>56</v>
      </c>
      <c r="C10" s="64">
        <v>18147</v>
      </c>
      <c r="D10" s="207"/>
      <c r="E10" s="64">
        <f>SUM(C10:D10)</f>
        <v>18147</v>
      </c>
    </row>
    <row r="11" spans="1:6" x14ac:dyDescent="0.25">
      <c r="A11" s="71">
        <v>516200</v>
      </c>
      <c r="B11" s="42" t="s">
        <v>14</v>
      </c>
      <c r="C11" s="64">
        <v>380255</v>
      </c>
      <c r="D11" s="207">
        <f>-2879+3916</f>
        <v>1037</v>
      </c>
      <c r="E11" s="64">
        <f>SUM(C11:D11)</f>
        <v>381292</v>
      </c>
    </row>
    <row r="12" spans="1:6" x14ac:dyDescent="0.25">
      <c r="A12" s="71">
        <v>511900</v>
      </c>
      <c r="B12" s="42" t="s">
        <v>194</v>
      </c>
      <c r="C12" s="64">
        <v>174845</v>
      </c>
      <c r="D12" s="207">
        <f>-1324+1801</f>
        <v>477</v>
      </c>
      <c r="E12" s="64">
        <f>SUM(C12:D12)</f>
        <v>175322</v>
      </c>
    </row>
    <row r="13" spans="1:6" x14ac:dyDescent="0.25">
      <c r="A13" s="43"/>
      <c r="B13" s="43" t="s">
        <v>102</v>
      </c>
      <c r="C13" s="65">
        <f>SUM(C8:C12)</f>
        <v>1102120</v>
      </c>
      <c r="D13" s="208">
        <f>SUM(D8:D12)</f>
        <v>3080</v>
      </c>
      <c r="E13" s="65">
        <f>SUM(E8:E12)</f>
        <v>1105200</v>
      </c>
    </row>
    <row r="14" spans="1:6" x14ac:dyDescent="0.25">
      <c r="A14" s="72"/>
      <c r="B14" s="44"/>
      <c r="C14" s="64"/>
      <c r="D14" s="207"/>
      <c r="E14" s="64"/>
    </row>
    <row r="15" spans="1:6" x14ac:dyDescent="0.25">
      <c r="A15" s="72">
        <v>520100</v>
      </c>
      <c r="B15" s="44" t="s">
        <v>15</v>
      </c>
      <c r="C15" s="64">
        <v>93747</v>
      </c>
      <c r="D15" s="207">
        <f>429+2145-2133</f>
        <v>441</v>
      </c>
      <c r="E15" s="64">
        <f t="shared" ref="E15:E21" si="0">SUM(C15:D15)</f>
        <v>94188</v>
      </c>
    </row>
    <row r="16" spans="1:6" x14ac:dyDescent="0.25">
      <c r="A16" s="72">
        <v>521100</v>
      </c>
      <c r="B16" s="44" t="s">
        <v>20</v>
      </c>
      <c r="C16" s="64">
        <v>57711</v>
      </c>
      <c r="D16" s="207">
        <f>-323+594</f>
        <v>271</v>
      </c>
      <c r="E16" s="64">
        <f t="shared" si="0"/>
        <v>57982</v>
      </c>
    </row>
    <row r="17" spans="1:5" x14ac:dyDescent="0.25">
      <c r="A17" s="72">
        <v>520400</v>
      </c>
      <c r="B17" s="44" t="s">
        <v>16</v>
      </c>
      <c r="C17" s="64">
        <v>12524</v>
      </c>
      <c r="D17" s="207">
        <f>57+497-285</f>
        <v>269</v>
      </c>
      <c r="E17" s="64">
        <f t="shared" si="0"/>
        <v>12793</v>
      </c>
    </row>
    <row r="18" spans="1:5" x14ac:dyDescent="0.25">
      <c r="A18" s="72">
        <v>520700</v>
      </c>
      <c r="B18" s="44" t="s">
        <v>18</v>
      </c>
      <c r="C18" s="64">
        <v>80392</v>
      </c>
      <c r="D18" s="207"/>
      <c r="E18" s="64">
        <f t="shared" si="0"/>
        <v>80392</v>
      </c>
    </row>
    <row r="19" spans="1:5" x14ac:dyDescent="0.25">
      <c r="A19" s="72">
        <v>520600</v>
      </c>
      <c r="B19" s="44" t="s">
        <v>17</v>
      </c>
      <c r="C19" s="64">
        <v>1656</v>
      </c>
      <c r="D19" s="207"/>
      <c r="E19" s="64">
        <f t="shared" si="0"/>
        <v>1656</v>
      </c>
    </row>
    <row r="20" spans="1:5" x14ac:dyDescent="0.25">
      <c r="A20" s="72">
        <v>520800</v>
      </c>
      <c r="B20" s="44" t="s">
        <v>19</v>
      </c>
      <c r="C20" s="64">
        <v>758</v>
      </c>
      <c r="D20" s="207"/>
      <c r="E20" s="64">
        <f t="shared" si="0"/>
        <v>758</v>
      </c>
    </row>
    <row r="21" spans="1:5" x14ac:dyDescent="0.25">
      <c r="A21" s="72">
        <v>529700</v>
      </c>
      <c r="B21" s="44" t="s">
        <v>196</v>
      </c>
      <c r="C21" s="64">
        <v>11730</v>
      </c>
      <c r="D21" s="207"/>
      <c r="E21" s="64">
        <f t="shared" si="0"/>
        <v>11730</v>
      </c>
    </row>
    <row r="22" spans="1:5" x14ac:dyDescent="0.25">
      <c r="A22" s="43"/>
      <c r="B22" s="43" t="s">
        <v>111</v>
      </c>
      <c r="C22" s="65">
        <f>SUM(C15:C21)</f>
        <v>258518</v>
      </c>
      <c r="D22" s="208">
        <f>SUM(D15:D21)</f>
        <v>981</v>
      </c>
      <c r="E22" s="65">
        <f>SUM(E15:E21)</f>
        <v>259499</v>
      </c>
    </row>
    <row r="23" spans="1:5" x14ac:dyDescent="0.25">
      <c r="A23" s="72"/>
      <c r="B23" s="44"/>
      <c r="C23" s="64"/>
      <c r="D23" s="207"/>
      <c r="E23" s="64"/>
    </row>
    <row r="24" spans="1:5" x14ac:dyDescent="0.25">
      <c r="A24" s="20">
        <v>539900</v>
      </c>
      <c r="B24" s="26" t="s">
        <v>22</v>
      </c>
      <c r="C24" s="64">
        <v>1769</v>
      </c>
      <c r="D24" s="207"/>
      <c r="E24" s="64">
        <f t="shared" ref="E24:E29" si="1">SUM(C24:D24)</f>
        <v>1769</v>
      </c>
    </row>
    <row r="25" spans="1:5" x14ac:dyDescent="0.25">
      <c r="A25" s="72">
        <v>533600</v>
      </c>
      <c r="B25" s="26" t="s">
        <v>304</v>
      </c>
      <c r="C25" s="64">
        <v>368</v>
      </c>
      <c r="D25" s="207"/>
      <c r="E25" s="64">
        <f t="shared" si="1"/>
        <v>368</v>
      </c>
    </row>
    <row r="26" spans="1:5" x14ac:dyDescent="0.25">
      <c r="A26" s="72">
        <v>534800</v>
      </c>
      <c r="B26" s="26" t="s">
        <v>335</v>
      </c>
      <c r="C26" s="64">
        <v>368</v>
      </c>
      <c r="D26" s="207"/>
      <c r="E26" s="64">
        <f t="shared" si="1"/>
        <v>368</v>
      </c>
    </row>
    <row r="27" spans="1:5" x14ac:dyDescent="0.25">
      <c r="A27" s="72">
        <v>535500</v>
      </c>
      <c r="B27" s="44" t="s">
        <v>2</v>
      </c>
      <c r="C27" s="64">
        <v>1474</v>
      </c>
      <c r="D27" s="207"/>
      <c r="E27" s="64">
        <f t="shared" si="1"/>
        <v>1474</v>
      </c>
    </row>
    <row r="28" spans="1:5" x14ac:dyDescent="0.25">
      <c r="A28" s="72">
        <v>535520</v>
      </c>
      <c r="B28" s="44" t="s">
        <v>24</v>
      </c>
      <c r="C28" s="64">
        <v>368</v>
      </c>
      <c r="D28" s="207"/>
      <c r="E28" s="64">
        <f t="shared" si="1"/>
        <v>368</v>
      </c>
    </row>
    <row r="29" spans="1:5" x14ac:dyDescent="0.25">
      <c r="A29" s="72">
        <v>532000</v>
      </c>
      <c r="B29" s="44" t="s">
        <v>94</v>
      </c>
      <c r="C29" s="64">
        <v>1474</v>
      </c>
      <c r="D29" s="207"/>
      <c r="E29" s="64">
        <f t="shared" si="1"/>
        <v>1474</v>
      </c>
    </row>
    <row r="30" spans="1:5" x14ac:dyDescent="0.25">
      <c r="A30" s="43"/>
      <c r="B30" s="43" t="s">
        <v>4</v>
      </c>
      <c r="C30" s="65">
        <f>SUM(C24:C29)</f>
        <v>5821</v>
      </c>
      <c r="D30" s="208">
        <f>SUM(D24:D29)</f>
        <v>0</v>
      </c>
      <c r="E30" s="65">
        <f>SUM(E24:E29)</f>
        <v>5821</v>
      </c>
    </row>
    <row r="31" spans="1:5" x14ac:dyDescent="0.25">
      <c r="A31" s="72"/>
      <c r="B31" s="44"/>
      <c r="C31" s="64"/>
      <c r="D31" s="207"/>
      <c r="E31" s="64"/>
    </row>
    <row r="32" spans="1:5" x14ac:dyDescent="0.25">
      <c r="A32" s="72">
        <v>543500</v>
      </c>
      <c r="B32" s="44" t="s">
        <v>225</v>
      </c>
      <c r="C32" s="64">
        <v>14185</v>
      </c>
      <c r="D32" s="207">
        <v>-2693</v>
      </c>
      <c r="E32" s="64">
        <f>SUM(C32:D32)</f>
        <v>11492</v>
      </c>
    </row>
    <row r="33" spans="1:5" x14ac:dyDescent="0.25">
      <c r="A33" s="72">
        <v>542900</v>
      </c>
      <c r="B33" s="44" t="s">
        <v>28</v>
      </c>
      <c r="C33" s="64">
        <v>2948</v>
      </c>
      <c r="D33" s="207">
        <v>-560</v>
      </c>
      <c r="E33" s="64">
        <f>SUM(C33:D33)</f>
        <v>2388</v>
      </c>
    </row>
    <row r="34" spans="1:5" x14ac:dyDescent="0.25">
      <c r="A34" s="43"/>
      <c r="B34" s="43" t="s">
        <v>9</v>
      </c>
      <c r="C34" s="65">
        <f>SUM(C32:C33)</f>
        <v>17133</v>
      </c>
      <c r="D34" s="208">
        <f>SUM(D32:D33)</f>
        <v>-3253</v>
      </c>
      <c r="E34" s="65">
        <f>SUM(E32:E33)</f>
        <v>13880</v>
      </c>
    </row>
    <row r="35" spans="1:5" x14ac:dyDescent="0.25">
      <c r="A35" s="41"/>
      <c r="B35" s="44"/>
      <c r="C35" s="64"/>
      <c r="D35" s="207"/>
      <c r="E35" s="64"/>
    </row>
    <row r="36" spans="1:5" x14ac:dyDescent="0.25">
      <c r="A36" s="41"/>
      <c r="B36" s="44"/>
      <c r="C36" s="64"/>
      <c r="D36" s="207"/>
      <c r="E36" s="64"/>
    </row>
    <row r="37" spans="1:5" s="23" customFormat="1" ht="15.6" x14ac:dyDescent="0.3">
      <c r="A37" s="12" t="s">
        <v>226</v>
      </c>
      <c r="B37" s="12"/>
      <c r="C37" s="70">
        <f>SUM(C13+C22+C30+C34)</f>
        <v>1383592</v>
      </c>
      <c r="D37" s="209">
        <f>SUM(D13+D22+D30+D34)</f>
        <v>808</v>
      </c>
      <c r="E37" s="70">
        <f>SUM(E13+E22+E30+E34)</f>
        <v>1384400</v>
      </c>
    </row>
  </sheetData>
  <mergeCells count="1">
    <mergeCell ref="A4:B4"/>
  </mergeCells>
  <phoneticPr fontId="0" type="noConversion"/>
  <printOptions horizontalCentered="1"/>
  <pageMargins left="0.75" right="0.75" top="1" bottom="1" header="0.5" footer="0.5"/>
  <pageSetup scale="77" firstPageNumber="60" orientation="portrait" useFirstPageNumber="1" r:id="rId1"/>
  <headerFooter alignWithMargins="0">
    <oddFooter>&amp;C&amp;"Arial,Bold"&amp;P</oddFooter>
  </headerFooter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E29"/>
  <sheetViews>
    <sheetView workbookViewId="0">
      <selection activeCell="B46" sqref="B46"/>
    </sheetView>
  </sheetViews>
  <sheetFormatPr defaultRowHeight="13.2" x14ac:dyDescent="0.25"/>
  <cols>
    <col min="1" max="1" width="11.6640625" customWidth="1"/>
    <col min="2" max="2" width="52.6640625" customWidth="1"/>
    <col min="3" max="3" width="17.6640625" customWidth="1"/>
    <col min="4" max="4" width="17.6640625" style="215" customWidth="1"/>
    <col min="5" max="6" width="17.6640625" customWidth="1"/>
  </cols>
  <sheetData>
    <row r="1" spans="1:5" ht="15.6" x14ac:dyDescent="0.3">
      <c r="A1" s="5" t="s">
        <v>261</v>
      </c>
    </row>
    <row r="2" spans="1:5" ht="15.6" x14ac:dyDescent="0.3">
      <c r="A2" s="5" t="s">
        <v>510</v>
      </c>
    </row>
    <row r="3" spans="1:5" ht="13.8" thickBot="1" x14ac:dyDescent="0.3"/>
    <row r="4" spans="1:5" ht="15.6" x14ac:dyDescent="0.3">
      <c r="A4" s="413" t="s">
        <v>227</v>
      </c>
      <c r="B4" s="414"/>
      <c r="C4" s="94" t="s">
        <v>483</v>
      </c>
      <c r="D4" s="356"/>
      <c r="E4" s="362" t="s">
        <v>511</v>
      </c>
    </row>
    <row r="5" spans="1:5" ht="15.6" x14ac:dyDescent="0.3">
      <c r="A5" s="60"/>
      <c r="B5" s="61"/>
      <c r="C5" s="93" t="s">
        <v>345</v>
      </c>
      <c r="D5" s="358"/>
      <c r="E5" s="363" t="s">
        <v>342</v>
      </c>
    </row>
    <row r="6" spans="1:5" ht="16.2" thickBot="1" x14ac:dyDescent="0.35">
      <c r="A6" s="13"/>
      <c r="B6" s="14"/>
      <c r="C6" s="14" t="s">
        <v>290</v>
      </c>
      <c r="D6" s="360" t="s">
        <v>493</v>
      </c>
      <c r="E6" s="364" t="s">
        <v>290</v>
      </c>
    </row>
    <row r="7" spans="1:5" ht="13.8" x14ac:dyDescent="0.25">
      <c r="A7" s="62">
        <v>72512</v>
      </c>
      <c r="B7" s="78" t="s">
        <v>223</v>
      </c>
      <c r="C7" s="25"/>
      <c r="D7" s="216"/>
      <c r="E7" s="25"/>
    </row>
    <row r="8" spans="1:5" x14ac:dyDescent="0.25">
      <c r="A8" s="71">
        <v>518975</v>
      </c>
      <c r="B8" s="42" t="s">
        <v>40</v>
      </c>
      <c r="C8" s="64">
        <v>146149</v>
      </c>
      <c r="D8" s="207">
        <f>-1106+1505</f>
        <v>399</v>
      </c>
      <c r="E8" s="64">
        <f>SUM(C8:D8)</f>
        <v>146548</v>
      </c>
    </row>
    <row r="9" spans="1:5" x14ac:dyDescent="0.25">
      <c r="A9" s="43"/>
      <c r="B9" s="43" t="s">
        <v>102</v>
      </c>
      <c r="C9" s="65">
        <f>SUM(C8)</f>
        <v>146149</v>
      </c>
      <c r="D9" s="208">
        <f>SUM(D8)</f>
        <v>399</v>
      </c>
      <c r="E9" s="65">
        <f>SUM(E8)</f>
        <v>146548</v>
      </c>
    </row>
    <row r="10" spans="1:5" x14ac:dyDescent="0.25">
      <c r="A10" s="72"/>
      <c r="B10" s="44"/>
      <c r="C10" s="64"/>
      <c r="D10" s="207"/>
      <c r="E10" s="64"/>
    </row>
    <row r="11" spans="1:5" x14ac:dyDescent="0.25">
      <c r="A11" s="72">
        <v>520100</v>
      </c>
      <c r="B11" s="44" t="s">
        <v>15</v>
      </c>
      <c r="C11" s="64">
        <v>10690</v>
      </c>
      <c r="D11" s="207">
        <f>-60+110</f>
        <v>50</v>
      </c>
      <c r="E11" s="64">
        <f>SUM(C11:D11)</f>
        <v>10740</v>
      </c>
    </row>
    <row r="12" spans="1:5" x14ac:dyDescent="0.25">
      <c r="A12" s="72">
        <v>521100</v>
      </c>
      <c r="B12" s="44" t="s">
        <v>20</v>
      </c>
      <c r="C12" s="64">
        <v>6735</v>
      </c>
      <c r="D12" s="207">
        <f>-38+69</f>
        <v>31</v>
      </c>
      <c r="E12" s="64">
        <f>SUM(C12:D12)</f>
        <v>6766</v>
      </c>
    </row>
    <row r="13" spans="1:5" x14ac:dyDescent="0.25">
      <c r="A13" s="72">
        <v>520700</v>
      </c>
      <c r="B13" s="44" t="s">
        <v>18</v>
      </c>
      <c r="C13" s="64">
        <v>19125</v>
      </c>
      <c r="D13" s="207"/>
      <c r="E13" s="64">
        <f>SUM(C13:D13)</f>
        <v>19125</v>
      </c>
    </row>
    <row r="14" spans="1:5" x14ac:dyDescent="0.25">
      <c r="A14" s="72">
        <v>520600</v>
      </c>
      <c r="B14" s="44" t="s">
        <v>17</v>
      </c>
      <c r="C14" s="64">
        <v>490</v>
      </c>
      <c r="D14" s="207"/>
      <c r="E14" s="64">
        <f>SUM(C14:D14)</f>
        <v>490</v>
      </c>
    </row>
    <row r="15" spans="1:5" x14ac:dyDescent="0.25">
      <c r="A15" s="72">
        <v>520800</v>
      </c>
      <c r="B15" s="44" t="s">
        <v>19</v>
      </c>
      <c r="C15" s="64">
        <v>97</v>
      </c>
      <c r="D15" s="207"/>
      <c r="E15" s="64">
        <f>SUM(C15:D15)</f>
        <v>97</v>
      </c>
    </row>
    <row r="16" spans="1:5" x14ac:dyDescent="0.25">
      <c r="A16" s="43"/>
      <c r="B16" s="6" t="s">
        <v>111</v>
      </c>
      <c r="C16" s="65">
        <f>SUM(C11:C15)</f>
        <v>37137</v>
      </c>
      <c r="D16" s="208">
        <f>SUM(D11:D15)</f>
        <v>81</v>
      </c>
      <c r="E16" s="65">
        <f>SUM(E11:E15)</f>
        <v>37218</v>
      </c>
    </row>
    <row r="17" spans="1:5" x14ac:dyDescent="0.25">
      <c r="A17" s="72"/>
      <c r="B17" s="44"/>
      <c r="C17" s="64"/>
      <c r="D17" s="207"/>
      <c r="E17" s="64"/>
    </row>
    <row r="18" spans="1:5" x14ac:dyDescent="0.25">
      <c r="A18" s="72">
        <v>533600</v>
      </c>
      <c r="B18" s="26" t="s">
        <v>302</v>
      </c>
      <c r="C18" s="64">
        <v>1900</v>
      </c>
      <c r="D18" s="207"/>
      <c r="E18" s="64">
        <f>SUM(C18:D18)</f>
        <v>1900</v>
      </c>
    </row>
    <row r="19" spans="1:5" x14ac:dyDescent="0.25">
      <c r="A19" s="72">
        <v>533800</v>
      </c>
      <c r="B19" s="26" t="s">
        <v>305</v>
      </c>
      <c r="C19" s="64">
        <v>2900</v>
      </c>
      <c r="D19" s="207"/>
      <c r="E19" s="64">
        <f>SUM(C19:D19)</f>
        <v>2900</v>
      </c>
    </row>
    <row r="20" spans="1:5" x14ac:dyDescent="0.25">
      <c r="A20" s="43"/>
      <c r="B20" s="43" t="s">
        <v>4</v>
      </c>
      <c r="C20" s="65">
        <f>SUM(C18:C19)</f>
        <v>4800</v>
      </c>
      <c r="D20" s="208">
        <f>SUM(D18:D19)</f>
        <v>0</v>
      </c>
      <c r="E20" s="65">
        <f>SUM(E18:E19)</f>
        <v>4800</v>
      </c>
    </row>
    <row r="21" spans="1:5" x14ac:dyDescent="0.25">
      <c r="A21" s="72"/>
      <c r="B21" s="44"/>
      <c r="C21" s="64"/>
      <c r="D21" s="207"/>
      <c r="E21" s="64"/>
    </row>
    <row r="22" spans="1:5" x14ac:dyDescent="0.25">
      <c r="A22" s="72">
        <v>545260</v>
      </c>
      <c r="B22" s="44" t="s">
        <v>5</v>
      </c>
      <c r="C22" s="64">
        <v>15000</v>
      </c>
      <c r="D22" s="207"/>
      <c r="E22" s="64">
        <f>SUM(C22:D22)</f>
        <v>15000</v>
      </c>
    </row>
    <row r="23" spans="1:5" x14ac:dyDescent="0.25">
      <c r="A23" s="72">
        <v>541860</v>
      </c>
      <c r="B23" s="26" t="s">
        <v>340</v>
      </c>
      <c r="C23" s="64">
        <v>250</v>
      </c>
      <c r="D23" s="207"/>
      <c r="E23" s="64">
        <f>SUM(C23:D23)</f>
        <v>250</v>
      </c>
    </row>
    <row r="24" spans="1:5" x14ac:dyDescent="0.25">
      <c r="A24" s="72">
        <v>545300</v>
      </c>
      <c r="B24" s="44" t="s">
        <v>228</v>
      </c>
      <c r="C24" s="64">
        <v>500</v>
      </c>
      <c r="D24" s="207"/>
      <c r="E24" s="64">
        <f>SUM(C24:D24)</f>
        <v>500</v>
      </c>
    </row>
    <row r="25" spans="1:5" x14ac:dyDescent="0.25">
      <c r="A25" s="40"/>
      <c r="B25" s="43" t="s">
        <v>9</v>
      </c>
      <c r="C25" s="65">
        <f>SUM(C22:C24)</f>
        <v>15750</v>
      </c>
      <c r="D25" s="208">
        <f>SUM(D22:D24)</f>
        <v>0</v>
      </c>
      <c r="E25" s="65">
        <f>SUM(E22:E24)</f>
        <v>15750</v>
      </c>
    </row>
    <row r="26" spans="1:5" x14ac:dyDescent="0.25">
      <c r="A26" s="41"/>
      <c r="B26" s="9"/>
      <c r="C26" s="64"/>
      <c r="D26" s="207"/>
      <c r="E26" s="64"/>
    </row>
    <row r="27" spans="1:5" x14ac:dyDescent="0.25">
      <c r="A27" s="41"/>
      <c r="B27" s="9"/>
      <c r="C27" s="64"/>
      <c r="D27" s="207"/>
      <c r="E27" s="64"/>
    </row>
    <row r="28" spans="1:5" s="38" customFormat="1" ht="15.6" x14ac:dyDescent="0.3">
      <c r="A28" s="76" t="s">
        <v>229</v>
      </c>
      <c r="B28" s="58"/>
      <c r="C28" s="70">
        <f>SUM(C9+C16+C20+C25)</f>
        <v>203836</v>
      </c>
      <c r="D28" s="209">
        <f>SUM(D9+D16+D20+D25)</f>
        <v>480</v>
      </c>
      <c r="E28" s="70">
        <f>SUM(E9+E16+E20+E25)</f>
        <v>204316</v>
      </c>
    </row>
    <row r="29" spans="1:5" x14ac:dyDescent="0.25">
      <c r="A29" s="92"/>
    </row>
  </sheetData>
  <mergeCells count="1">
    <mergeCell ref="A4:B4"/>
  </mergeCells>
  <phoneticPr fontId="0" type="noConversion"/>
  <printOptions horizontalCentered="1"/>
  <pageMargins left="0.75" right="0.75" top="1" bottom="1" header="0.5" footer="0.5"/>
  <pageSetup scale="77" firstPageNumber="61" orientation="portrait" useFirstPageNumber="1" r:id="rId1"/>
  <headerFooter alignWithMargins="0">
    <oddFooter>&amp;C&amp;"Arial,Bold"&amp;P</oddFooter>
  </headerFooter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K49"/>
  <sheetViews>
    <sheetView workbookViewId="0">
      <selection activeCell="D15" sqref="D15"/>
    </sheetView>
  </sheetViews>
  <sheetFormatPr defaultRowHeight="13.2" x14ac:dyDescent="0.25"/>
  <cols>
    <col min="1" max="1" width="11.6640625" customWidth="1"/>
    <col min="2" max="2" width="52.6640625" customWidth="1"/>
    <col min="3" max="3" width="17.88671875" customWidth="1"/>
    <col min="4" max="4" width="17.88671875" style="210" customWidth="1"/>
    <col min="5" max="5" width="17.6640625" customWidth="1"/>
    <col min="7" max="7" width="9.109375" style="56" customWidth="1"/>
    <col min="9" max="10" width="9.6640625" bestFit="1" customWidth="1"/>
  </cols>
  <sheetData>
    <row r="1" spans="1:11" ht="15.6" x14ac:dyDescent="0.3">
      <c r="A1" s="5" t="s">
        <v>261</v>
      </c>
    </row>
    <row r="2" spans="1:11" ht="15.6" x14ac:dyDescent="0.3">
      <c r="A2" s="5" t="s">
        <v>510</v>
      </c>
    </row>
    <row r="3" spans="1:11" ht="13.8" thickBot="1" x14ac:dyDescent="0.3"/>
    <row r="4" spans="1:11" ht="15.6" x14ac:dyDescent="0.3">
      <c r="A4" s="413" t="s">
        <v>138</v>
      </c>
      <c r="B4" s="414"/>
      <c r="C4" s="94" t="s">
        <v>483</v>
      </c>
      <c r="D4" s="356"/>
      <c r="E4" s="362" t="s">
        <v>511</v>
      </c>
      <c r="F4" s="106"/>
      <c r="G4" s="108"/>
      <c r="H4" s="106"/>
      <c r="I4" s="106"/>
      <c r="J4" s="106"/>
      <c r="K4" s="106"/>
    </row>
    <row r="5" spans="1:11" ht="15.6" x14ac:dyDescent="0.3">
      <c r="A5" s="60"/>
      <c r="B5" s="61"/>
      <c r="C5" s="93" t="s">
        <v>345</v>
      </c>
      <c r="D5" s="358"/>
      <c r="E5" s="363" t="s">
        <v>342</v>
      </c>
      <c r="F5" s="106"/>
      <c r="G5" s="112"/>
      <c r="H5" s="106"/>
      <c r="I5" s="106"/>
      <c r="J5" s="106"/>
      <c r="K5" s="106"/>
    </row>
    <row r="6" spans="1:11" ht="16.2" thickBot="1" x14ac:dyDescent="0.35">
      <c r="A6" s="13"/>
      <c r="B6" s="14"/>
      <c r="C6" s="14" t="s">
        <v>290</v>
      </c>
      <c r="D6" s="360" t="s">
        <v>493</v>
      </c>
      <c r="E6" s="364" t="s">
        <v>290</v>
      </c>
      <c r="F6" s="106"/>
      <c r="G6" s="112"/>
      <c r="H6" s="106"/>
      <c r="I6" s="110"/>
      <c r="J6" s="106"/>
      <c r="K6" s="106"/>
    </row>
    <row r="7" spans="1:11" ht="13.8" x14ac:dyDescent="0.25">
      <c r="A7" s="62">
        <v>72619</v>
      </c>
      <c r="B7" s="78" t="s">
        <v>21</v>
      </c>
      <c r="C7" s="25"/>
      <c r="D7" s="213"/>
      <c r="E7" s="25"/>
      <c r="F7" s="106"/>
      <c r="G7" s="108"/>
      <c r="H7" s="106"/>
      <c r="I7" s="106"/>
      <c r="J7" s="106"/>
      <c r="K7" s="106"/>
    </row>
    <row r="8" spans="1:11" x14ac:dyDescent="0.25">
      <c r="A8" s="71">
        <v>516200</v>
      </c>
      <c r="B8" s="9" t="s">
        <v>14</v>
      </c>
      <c r="C8" s="64">
        <v>37762</v>
      </c>
      <c r="D8" s="207">
        <f>-286+389</f>
        <v>103</v>
      </c>
      <c r="E8" s="64">
        <f>SUM(C8:D8)</f>
        <v>37865</v>
      </c>
      <c r="F8" s="106"/>
      <c r="G8" s="108"/>
      <c r="H8" s="106"/>
      <c r="I8" s="108"/>
      <c r="J8" s="106"/>
      <c r="K8" s="106"/>
    </row>
    <row r="9" spans="1:11" ht="12.75" customHeight="1" x14ac:dyDescent="0.25">
      <c r="A9" s="71">
        <v>516000</v>
      </c>
      <c r="B9" s="7" t="s">
        <v>491</v>
      </c>
      <c r="C9" s="91">
        <v>2474851</v>
      </c>
      <c r="D9" s="220">
        <f>-18736+330289</f>
        <v>311553</v>
      </c>
      <c r="E9" s="64">
        <f>SUM(C9:D9)</f>
        <v>2786404</v>
      </c>
      <c r="F9" s="106"/>
      <c r="G9" s="108"/>
      <c r="H9" s="106"/>
      <c r="I9" s="108"/>
      <c r="J9" s="106"/>
      <c r="K9" s="106"/>
    </row>
    <row r="10" spans="1:11" x14ac:dyDescent="0.25">
      <c r="A10" s="71">
        <v>518975</v>
      </c>
      <c r="B10" s="9" t="s">
        <v>40</v>
      </c>
      <c r="C10" s="64">
        <v>204012</v>
      </c>
      <c r="D10" s="207">
        <f>-4642+4669</f>
        <v>27</v>
      </c>
      <c r="E10" s="64">
        <f>SUM(C10:D10)</f>
        <v>204039</v>
      </c>
      <c r="F10" s="106"/>
      <c r="G10" s="108"/>
      <c r="H10" s="106"/>
      <c r="I10" s="108"/>
      <c r="J10" s="108"/>
      <c r="K10" s="106"/>
    </row>
    <row r="11" spans="1:11" x14ac:dyDescent="0.25">
      <c r="A11" s="43"/>
      <c r="B11" s="6" t="s">
        <v>102</v>
      </c>
      <c r="C11" s="65">
        <f>SUM(C8:C10)</f>
        <v>2716625</v>
      </c>
      <c r="D11" s="208">
        <f>SUM(D8:D10)</f>
        <v>311683</v>
      </c>
      <c r="E11" s="65">
        <f>SUM(E8:E10)</f>
        <v>3028308</v>
      </c>
      <c r="F11" s="106"/>
      <c r="G11" s="108"/>
      <c r="H11" s="106"/>
      <c r="I11" s="108"/>
      <c r="J11" s="106"/>
      <c r="K11" s="106"/>
    </row>
    <row r="12" spans="1:11" x14ac:dyDescent="0.25">
      <c r="A12" s="72"/>
      <c r="B12" s="9"/>
      <c r="C12" s="64"/>
      <c r="D12" s="207"/>
      <c r="E12" s="64"/>
      <c r="F12" s="106"/>
      <c r="G12" s="108"/>
      <c r="H12" s="106"/>
      <c r="I12" s="108"/>
      <c r="J12" s="106"/>
      <c r="K12" s="106"/>
    </row>
    <row r="13" spans="1:11" x14ac:dyDescent="0.25">
      <c r="A13" s="72">
        <v>520100</v>
      </c>
      <c r="B13" s="9" t="s">
        <v>15</v>
      </c>
      <c r="C13" s="64">
        <v>194129</v>
      </c>
      <c r="D13" s="207">
        <f>-4417+32343</f>
        <v>27926</v>
      </c>
      <c r="E13" s="64">
        <f>SUM(C13:D13)</f>
        <v>222055</v>
      </c>
      <c r="F13" s="106"/>
      <c r="G13" s="108"/>
      <c r="H13" s="106"/>
      <c r="I13" s="108"/>
      <c r="J13" s="106"/>
      <c r="K13" s="106"/>
    </row>
    <row r="14" spans="1:11" x14ac:dyDescent="0.25">
      <c r="A14" s="72">
        <v>521100</v>
      </c>
      <c r="B14" s="9" t="s">
        <v>20</v>
      </c>
      <c r="C14" s="64">
        <v>156804</v>
      </c>
      <c r="D14" s="207">
        <f>-878+22915</f>
        <v>22037</v>
      </c>
      <c r="E14" s="64">
        <f>SUM(C14:D14)</f>
        <v>178841</v>
      </c>
      <c r="F14" s="106"/>
      <c r="G14" s="108"/>
      <c r="H14" s="106"/>
      <c r="I14" s="108"/>
      <c r="J14" s="106"/>
      <c r="K14" s="106"/>
    </row>
    <row r="15" spans="1:11" x14ac:dyDescent="0.25">
      <c r="A15" s="72">
        <v>520700</v>
      </c>
      <c r="B15" s="9" t="s">
        <v>18</v>
      </c>
      <c r="C15" s="64">
        <v>233096</v>
      </c>
      <c r="D15" s="207">
        <v>2000</v>
      </c>
      <c r="E15" s="64">
        <f>SUM(C15:D15)</f>
        <v>235096</v>
      </c>
      <c r="F15" s="106"/>
      <c r="G15" s="108"/>
      <c r="H15" s="106"/>
      <c r="I15" s="108"/>
      <c r="J15" s="106"/>
      <c r="K15" s="106"/>
    </row>
    <row r="16" spans="1:11" x14ac:dyDescent="0.25">
      <c r="A16" s="72">
        <v>520600</v>
      </c>
      <c r="B16" s="9" t="s">
        <v>17</v>
      </c>
      <c r="C16" s="64">
        <v>1970</v>
      </c>
      <c r="D16" s="207"/>
      <c r="E16" s="64">
        <f>SUM(C16:D16)</f>
        <v>1970</v>
      </c>
      <c r="F16" s="106"/>
      <c r="G16" s="108"/>
      <c r="H16" s="106"/>
      <c r="I16" s="108"/>
      <c r="J16" s="106"/>
      <c r="K16" s="106"/>
    </row>
    <row r="17" spans="1:11" x14ac:dyDescent="0.25">
      <c r="A17" s="72">
        <v>520800</v>
      </c>
      <c r="B17" s="9" t="s">
        <v>19</v>
      </c>
      <c r="C17" s="64">
        <v>490</v>
      </c>
      <c r="D17" s="207"/>
      <c r="E17" s="64">
        <f>SUM(C17:D17)</f>
        <v>490</v>
      </c>
      <c r="F17" s="106"/>
      <c r="G17" s="108"/>
      <c r="H17" s="106"/>
      <c r="I17" s="108"/>
      <c r="J17" s="106"/>
      <c r="K17" s="106"/>
    </row>
    <row r="18" spans="1:11" x14ac:dyDescent="0.25">
      <c r="A18" s="43"/>
      <c r="B18" s="6" t="s">
        <v>111</v>
      </c>
      <c r="C18" s="65">
        <f>SUM(C13:C17)</f>
        <v>586489</v>
      </c>
      <c r="D18" s="208">
        <f>SUM(D13:D17)</f>
        <v>51963</v>
      </c>
      <c r="E18" s="65">
        <f>SUM(E13:E17)</f>
        <v>638452</v>
      </c>
      <c r="F18" s="106"/>
      <c r="G18" s="108"/>
      <c r="H18" s="106"/>
      <c r="I18" s="108"/>
      <c r="J18" s="106"/>
      <c r="K18" s="106"/>
    </row>
    <row r="19" spans="1:11" x14ac:dyDescent="0.25">
      <c r="A19" s="72"/>
      <c r="B19" s="9"/>
      <c r="C19" s="64"/>
      <c r="D19" s="207"/>
      <c r="E19" s="64"/>
      <c r="F19" s="106"/>
      <c r="G19" s="108"/>
      <c r="H19" s="106"/>
      <c r="I19" s="108"/>
      <c r="J19" s="106"/>
      <c r="K19" s="106"/>
    </row>
    <row r="20" spans="1:11" x14ac:dyDescent="0.25">
      <c r="A20" s="72">
        <v>533600</v>
      </c>
      <c r="B20" s="26" t="s">
        <v>306</v>
      </c>
      <c r="C20" s="64">
        <v>500</v>
      </c>
      <c r="D20" s="207"/>
      <c r="E20" s="64">
        <f>SUM(C20:D20)</f>
        <v>500</v>
      </c>
      <c r="F20" s="106"/>
      <c r="G20" s="108"/>
      <c r="H20" s="106"/>
      <c r="I20" s="108"/>
      <c r="J20" s="106"/>
      <c r="K20" s="106"/>
    </row>
    <row r="21" spans="1:11" x14ac:dyDescent="0.25">
      <c r="A21" s="72">
        <v>530700</v>
      </c>
      <c r="B21" s="9" t="s">
        <v>1</v>
      </c>
      <c r="C21" s="64">
        <v>129800</v>
      </c>
      <c r="D21" s="207"/>
      <c r="E21" s="64">
        <f>SUM(C21:D21)</f>
        <v>129800</v>
      </c>
      <c r="F21" s="106"/>
      <c r="G21" s="108"/>
      <c r="H21" s="106"/>
      <c r="I21" s="108"/>
      <c r="J21" s="106"/>
      <c r="K21" s="106"/>
    </row>
    <row r="22" spans="1:11" x14ac:dyDescent="0.25">
      <c r="A22" s="72">
        <v>532000</v>
      </c>
      <c r="B22" s="9" t="s">
        <v>94</v>
      </c>
      <c r="C22" s="64">
        <v>11800</v>
      </c>
      <c r="D22" s="207"/>
      <c r="E22" s="64">
        <f>SUM(C22:D22)</f>
        <v>11800</v>
      </c>
      <c r="F22" s="106"/>
      <c r="G22" s="112"/>
      <c r="H22" s="106"/>
      <c r="I22" s="108"/>
      <c r="J22" s="106"/>
      <c r="K22" s="106"/>
    </row>
    <row r="23" spans="1:11" x14ac:dyDescent="0.25">
      <c r="A23" s="43"/>
      <c r="B23" s="6" t="s">
        <v>4</v>
      </c>
      <c r="C23" s="65">
        <f>SUM(C20:C22)</f>
        <v>142100</v>
      </c>
      <c r="D23" s="208">
        <f>SUM(D20:D22)</f>
        <v>0</v>
      </c>
      <c r="E23" s="65">
        <f>SUM(E20:E22)</f>
        <v>142100</v>
      </c>
      <c r="F23" s="106"/>
      <c r="G23" s="108"/>
      <c r="H23" s="106"/>
      <c r="I23" s="108"/>
      <c r="J23" s="106"/>
      <c r="K23" s="106"/>
    </row>
    <row r="24" spans="1:11" x14ac:dyDescent="0.25">
      <c r="A24" s="72"/>
      <c r="B24" s="9"/>
      <c r="C24" s="64"/>
      <c r="D24" s="207"/>
      <c r="E24" s="64"/>
      <c r="F24" s="106"/>
      <c r="G24" s="108"/>
      <c r="H24" s="106"/>
      <c r="I24" s="108"/>
      <c r="J24" s="106"/>
      <c r="K24" s="106"/>
    </row>
    <row r="25" spans="1:11" x14ac:dyDescent="0.25">
      <c r="A25" s="72">
        <v>545260</v>
      </c>
      <c r="B25" s="9" t="s">
        <v>5</v>
      </c>
      <c r="C25" s="64">
        <v>59000</v>
      </c>
      <c r="D25" s="207"/>
      <c r="E25" s="64">
        <f>SUM(C25:D25)</f>
        <v>59000</v>
      </c>
      <c r="F25" s="106"/>
      <c r="G25" s="108"/>
      <c r="H25" s="106"/>
      <c r="I25" s="108"/>
      <c r="J25" s="106"/>
      <c r="K25" s="106"/>
    </row>
    <row r="26" spans="1:11" x14ac:dyDescent="0.25">
      <c r="A26" s="72">
        <v>543500</v>
      </c>
      <c r="B26" s="9" t="s">
        <v>6</v>
      </c>
      <c r="C26" s="64">
        <v>1000</v>
      </c>
      <c r="D26" s="207">
        <v>-190</v>
      </c>
      <c r="E26" s="64">
        <f>SUM(C26:D26)</f>
        <v>810</v>
      </c>
      <c r="F26" s="106"/>
      <c r="G26" s="108"/>
      <c r="H26" s="106"/>
      <c r="I26" s="108"/>
      <c r="J26" s="106"/>
      <c r="K26" s="106"/>
    </row>
    <row r="27" spans="1:11" x14ac:dyDescent="0.25">
      <c r="A27" s="20">
        <v>545300</v>
      </c>
      <c r="B27" s="18" t="s">
        <v>7</v>
      </c>
      <c r="C27" s="64">
        <v>12610</v>
      </c>
      <c r="D27" s="207"/>
      <c r="E27" s="64">
        <f>SUM(C27:D27)</f>
        <v>12610</v>
      </c>
      <c r="F27" s="106"/>
      <c r="G27" s="108"/>
      <c r="H27" s="106"/>
      <c r="I27" s="108"/>
      <c r="J27" s="106"/>
      <c r="K27" s="106"/>
    </row>
    <row r="28" spans="1:11" x14ac:dyDescent="0.25">
      <c r="A28" s="72">
        <v>543100</v>
      </c>
      <c r="B28" s="9" t="s">
        <v>64</v>
      </c>
      <c r="C28" s="64">
        <v>45032</v>
      </c>
      <c r="D28" s="207"/>
      <c r="E28" s="64">
        <f>SUM(C28:D28)</f>
        <v>45032</v>
      </c>
      <c r="F28" s="106"/>
      <c r="G28" s="108"/>
      <c r="H28" s="106"/>
      <c r="I28" s="108"/>
      <c r="J28" s="106"/>
      <c r="K28" s="106"/>
    </row>
    <row r="29" spans="1:11" x14ac:dyDescent="0.25">
      <c r="A29" s="72">
        <v>549900</v>
      </c>
      <c r="B29" s="9" t="s">
        <v>65</v>
      </c>
      <c r="C29" s="64">
        <v>59625</v>
      </c>
      <c r="D29" s="207"/>
      <c r="E29" s="64">
        <f>SUM(C29:D29)</f>
        <v>59625</v>
      </c>
      <c r="F29" s="106"/>
      <c r="G29" s="108"/>
      <c r="H29" s="106"/>
      <c r="I29" s="108"/>
      <c r="J29" s="106"/>
      <c r="K29" s="106"/>
    </row>
    <row r="30" spans="1:11" x14ac:dyDescent="0.25">
      <c r="A30" s="43"/>
      <c r="B30" s="6" t="s">
        <v>9</v>
      </c>
      <c r="C30" s="65">
        <f>SUM(C25:C29)</f>
        <v>177267</v>
      </c>
      <c r="D30" s="208">
        <f>SUM(D25:D29)</f>
        <v>-190</v>
      </c>
      <c r="E30" s="65">
        <f>SUM(E25:E29)</f>
        <v>177077</v>
      </c>
      <c r="F30" s="106"/>
      <c r="G30" s="108"/>
      <c r="H30" s="106"/>
      <c r="I30" s="108"/>
      <c r="J30" s="106"/>
      <c r="K30" s="106"/>
    </row>
    <row r="31" spans="1:11" x14ac:dyDescent="0.25">
      <c r="A31" s="72"/>
      <c r="B31" s="9"/>
      <c r="C31" s="64"/>
      <c r="D31" s="207"/>
      <c r="E31" s="64"/>
      <c r="F31" s="106"/>
      <c r="G31" s="108"/>
      <c r="H31" s="106"/>
      <c r="I31" s="108"/>
      <c r="J31" s="106"/>
      <c r="K31" s="106"/>
    </row>
    <row r="32" spans="1:11" x14ac:dyDescent="0.25">
      <c r="A32" s="72">
        <v>552400</v>
      </c>
      <c r="B32" s="9" t="s">
        <v>11</v>
      </c>
      <c r="C32" s="64">
        <v>6000</v>
      </c>
      <c r="D32" s="207"/>
      <c r="E32" s="64">
        <f>SUM(C32:D32)</f>
        <v>6000</v>
      </c>
      <c r="F32" s="106"/>
      <c r="G32" s="108"/>
      <c r="H32" s="106"/>
      <c r="I32" s="108"/>
      <c r="J32" s="106"/>
      <c r="K32" s="106"/>
    </row>
    <row r="33" spans="1:11" x14ac:dyDescent="0.25">
      <c r="A33" s="41"/>
      <c r="B33" s="6" t="s">
        <v>12</v>
      </c>
      <c r="C33" s="65">
        <f>SUM(C32)</f>
        <v>6000</v>
      </c>
      <c r="D33" s="208">
        <f>SUM(D32)</f>
        <v>0</v>
      </c>
      <c r="E33" s="65">
        <f>SUM(E32)</f>
        <v>6000</v>
      </c>
      <c r="F33" s="106"/>
      <c r="G33" s="108"/>
      <c r="H33" s="106"/>
      <c r="I33" s="108"/>
      <c r="J33" s="106"/>
      <c r="K33" s="106"/>
    </row>
    <row r="34" spans="1:11" x14ac:dyDescent="0.25">
      <c r="A34" s="9"/>
      <c r="B34" s="9"/>
      <c r="C34" s="64"/>
      <c r="D34" s="207"/>
      <c r="E34" s="64"/>
      <c r="F34" s="106"/>
      <c r="G34" s="108"/>
      <c r="H34" s="106"/>
      <c r="I34" s="108"/>
      <c r="J34" s="106"/>
      <c r="K34" s="106"/>
    </row>
    <row r="35" spans="1:11" x14ac:dyDescent="0.25">
      <c r="A35" s="9"/>
      <c r="B35" s="9"/>
      <c r="C35" s="64"/>
      <c r="D35" s="207"/>
      <c r="E35" s="64"/>
      <c r="F35" s="106"/>
      <c r="G35" s="108"/>
      <c r="H35" s="106"/>
      <c r="I35" s="106"/>
      <c r="J35" s="106"/>
      <c r="K35" s="106"/>
    </row>
    <row r="36" spans="1:11" s="23" customFormat="1" ht="15.6" x14ac:dyDescent="0.3">
      <c r="A36" s="12" t="s">
        <v>140</v>
      </c>
      <c r="B36" s="12"/>
      <c r="C36" s="70">
        <f>SUM(C11+C18+C23+C30+C33)</f>
        <v>3628481</v>
      </c>
      <c r="D36" s="209">
        <f>SUM(D11+D18+D23+D30+D33)</f>
        <v>363456</v>
      </c>
      <c r="E36" s="70">
        <f>SUM(E11+E18+E23+E30+E33)</f>
        <v>3991937</v>
      </c>
      <c r="F36" s="113"/>
      <c r="G36" s="114"/>
      <c r="H36" s="113"/>
      <c r="I36" s="113"/>
      <c r="J36" s="113"/>
      <c r="K36" s="113"/>
    </row>
    <row r="37" spans="1:11" x14ac:dyDescent="0.25">
      <c r="A37" s="106"/>
      <c r="B37" s="107"/>
      <c r="C37" s="106"/>
      <c r="D37" s="138"/>
      <c r="E37" s="106"/>
      <c r="F37" s="106"/>
      <c r="G37" s="108"/>
      <c r="H37" s="106"/>
      <c r="I37" s="106"/>
      <c r="J37" s="106"/>
      <c r="K37" s="106"/>
    </row>
    <row r="38" spans="1:11" x14ac:dyDescent="0.25">
      <c r="A38" s="106"/>
      <c r="B38" s="107"/>
      <c r="C38" s="108"/>
      <c r="D38" s="372"/>
      <c r="E38" s="108"/>
      <c r="F38" s="106"/>
      <c r="G38" s="108"/>
      <c r="H38" s="106"/>
      <c r="I38" s="106"/>
      <c r="J38" s="106"/>
      <c r="K38" s="106"/>
    </row>
    <row r="39" spans="1:11" x14ac:dyDescent="0.25">
      <c r="A39" s="106"/>
      <c r="B39" s="107"/>
      <c r="C39" s="106"/>
      <c r="D39" s="138"/>
      <c r="E39" s="106"/>
      <c r="F39" s="106"/>
      <c r="G39" s="108"/>
      <c r="H39" s="106"/>
      <c r="I39" s="108"/>
      <c r="J39" s="106"/>
      <c r="K39" s="106"/>
    </row>
    <row r="40" spans="1:11" x14ac:dyDescent="0.25">
      <c r="A40" s="106"/>
      <c r="B40" s="109"/>
      <c r="C40" s="106"/>
      <c r="D40" s="138"/>
      <c r="E40" s="106"/>
      <c r="F40" s="106"/>
      <c r="G40" s="108"/>
      <c r="H40" s="106"/>
      <c r="I40" s="108"/>
      <c r="J40" s="106"/>
      <c r="K40" s="106"/>
    </row>
    <row r="41" spans="1:11" x14ac:dyDescent="0.25">
      <c r="A41" s="106"/>
      <c r="B41" s="107"/>
      <c r="C41" s="106"/>
      <c r="D41" s="138"/>
      <c r="E41" s="106"/>
      <c r="F41" s="106"/>
      <c r="G41" s="108"/>
      <c r="H41" s="106"/>
      <c r="I41" s="106"/>
      <c r="J41" s="106"/>
      <c r="K41" s="106"/>
    </row>
    <row r="42" spans="1:11" x14ac:dyDescent="0.25">
      <c r="A42" s="106"/>
      <c r="B42" s="106"/>
      <c r="C42" s="106"/>
      <c r="D42" s="138"/>
      <c r="E42" s="106"/>
      <c r="F42" s="106"/>
      <c r="G42" s="108"/>
      <c r="H42" s="106"/>
      <c r="I42" s="108"/>
      <c r="J42" s="106"/>
      <c r="K42" s="106"/>
    </row>
    <row r="43" spans="1:11" x14ac:dyDescent="0.25">
      <c r="A43" s="106"/>
      <c r="B43" s="106"/>
      <c r="C43" s="111"/>
      <c r="D43" s="279"/>
      <c r="E43" s="111"/>
      <c r="F43" s="106"/>
      <c r="G43" s="108"/>
      <c r="H43" s="106"/>
      <c r="I43" s="106"/>
      <c r="J43" s="106"/>
      <c r="K43" s="106"/>
    </row>
    <row r="44" spans="1:11" x14ac:dyDescent="0.25">
      <c r="A44" s="106"/>
      <c r="B44" s="106"/>
      <c r="C44" s="106"/>
      <c r="D44" s="138"/>
      <c r="E44" s="106"/>
      <c r="F44" s="106"/>
      <c r="G44" s="108"/>
      <c r="H44" s="106"/>
      <c r="I44" s="106"/>
      <c r="J44" s="106"/>
      <c r="K44" s="106"/>
    </row>
    <row r="45" spans="1:11" x14ac:dyDescent="0.25">
      <c r="A45" s="106"/>
      <c r="B45" s="106"/>
      <c r="C45" s="106"/>
      <c r="D45" s="138"/>
      <c r="E45" s="106"/>
      <c r="F45" s="106"/>
      <c r="G45" s="108"/>
      <c r="H45" s="106"/>
      <c r="I45" s="106"/>
      <c r="J45" s="106"/>
      <c r="K45" s="106"/>
    </row>
    <row r="46" spans="1:11" x14ac:dyDescent="0.25">
      <c r="A46" s="106"/>
      <c r="B46" s="106"/>
      <c r="C46" s="106"/>
      <c r="D46" s="138"/>
      <c r="E46" s="106"/>
      <c r="F46" s="106"/>
    </row>
    <row r="47" spans="1:11" x14ac:dyDescent="0.25">
      <c r="A47" s="106"/>
      <c r="B47" s="106"/>
      <c r="C47" s="106"/>
      <c r="D47" s="138"/>
      <c r="E47" s="106"/>
      <c r="F47" s="106"/>
    </row>
    <row r="48" spans="1:11" x14ac:dyDescent="0.25">
      <c r="A48" s="106"/>
      <c r="B48" s="106"/>
      <c r="C48" s="106"/>
      <c r="D48" s="138"/>
      <c r="E48" s="106"/>
      <c r="F48" s="106"/>
    </row>
    <row r="49" spans="1:6" x14ac:dyDescent="0.25">
      <c r="A49" s="106"/>
      <c r="B49" s="106"/>
      <c r="C49" s="106"/>
      <c r="D49" s="138"/>
      <c r="E49" s="106"/>
      <c r="F49" s="106"/>
    </row>
  </sheetData>
  <mergeCells count="1">
    <mergeCell ref="A4:B4"/>
  </mergeCells>
  <phoneticPr fontId="0" type="noConversion"/>
  <printOptions horizontalCentered="1"/>
  <pageMargins left="0.75" right="0.75" top="1" bottom="1" header="0.5" footer="0.5"/>
  <pageSetup scale="77" firstPageNumber="62" orientation="portrait" useFirstPageNumber="1" r:id="rId1"/>
  <headerFooter alignWithMargins="0">
    <oddFooter>&amp;C&amp;"Arial,Bold"&amp;P</oddFooter>
  </headerFooter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F52"/>
  <sheetViews>
    <sheetView workbookViewId="0">
      <selection activeCell="D16" sqref="D16"/>
    </sheetView>
  </sheetViews>
  <sheetFormatPr defaultRowHeight="13.2" x14ac:dyDescent="0.25"/>
  <cols>
    <col min="1" max="1" width="11.6640625" customWidth="1"/>
    <col min="2" max="2" width="52.6640625" customWidth="1"/>
    <col min="3" max="3" width="17.6640625" customWidth="1"/>
    <col min="4" max="4" width="17.6640625" style="215" customWidth="1"/>
    <col min="5" max="5" width="17.6640625" customWidth="1"/>
    <col min="6" max="6" width="10.6640625" bestFit="1" customWidth="1"/>
    <col min="8" max="8" width="12.109375" customWidth="1"/>
  </cols>
  <sheetData>
    <row r="1" spans="1:5" ht="15.6" x14ac:dyDescent="0.3">
      <c r="A1" s="5" t="s">
        <v>261</v>
      </c>
    </row>
    <row r="2" spans="1:5" ht="15.6" x14ac:dyDescent="0.3">
      <c r="A2" s="5" t="s">
        <v>510</v>
      </c>
    </row>
    <row r="3" spans="1:5" ht="13.8" thickBot="1" x14ac:dyDescent="0.3"/>
    <row r="4" spans="1:5" ht="15.6" x14ac:dyDescent="0.3">
      <c r="A4" s="413" t="s">
        <v>69</v>
      </c>
      <c r="B4" s="414"/>
      <c r="C4" s="94" t="s">
        <v>483</v>
      </c>
      <c r="D4" s="356"/>
      <c r="E4" s="362" t="s">
        <v>511</v>
      </c>
    </row>
    <row r="5" spans="1:5" ht="15.6" x14ac:dyDescent="0.3">
      <c r="A5" s="60"/>
      <c r="B5" s="61"/>
      <c r="C5" s="93" t="s">
        <v>345</v>
      </c>
      <c r="D5" s="358"/>
      <c r="E5" s="363" t="s">
        <v>342</v>
      </c>
    </row>
    <row r="6" spans="1:5" ht="16.2" thickBot="1" x14ac:dyDescent="0.35">
      <c r="A6" s="13"/>
      <c r="B6" s="14"/>
      <c r="C6" s="14" t="s">
        <v>290</v>
      </c>
      <c r="D6" s="360" t="s">
        <v>493</v>
      </c>
      <c r="E6" s="364" t="s">
        <v>290</v>
      </c>
    </row>
    <row r="7" spans="1:5" ht="13.8" x14ac:dyDescent="0.25">
      <c r="A7" s="62">
        <v>72610</v>
      </c>
      <c r="B7" s="78" t="s">
        <v>21</v>
      </c>
      <c r="C7" s="25"/>
      <c r="D7" s="216"/>
      <c r="E7" s="25"/>
    </row>
    <row r="8" spans="1:5" x14ac:dyDescent="0.25">
      <c r="A8" s="57">
        <v>516100</v>
      </c>
      <c r="B8" s="9" t="s">
        <v>56</v>
      </c>
      <c r="C8" s="64">
        <v>115436</v>
      </c>
      <c r="D8" s="207">
        <f>-874+1189</f>
        <v>315</v>
      </c>
      <c r="E8" s="64">
        <f>SUM(C8:D8)</f>
        <v>115751</v>
      </c>
    </row>
    <row r="9" spans="1:5" x14ac:dyDescent="0.25">
      <c r="A9" s="57">
        <v>510500</v>
      </c>
      <c r="B9" s="26" t="s">
        <v>240</v>
      </c>
      <c r="C9" s="64">
        <v>100000</v>
      </c>
      <c r="D9" s="207"/>
      <c r="E9" s="64">
        <f>SUM(C9:D9)</f>
        <v>100000</v>
      </c>
    </row>
    <row r="10" spans="1:5" x14ac:dyDescent="0.25">
      <c r="A10" s="57">
        <v>516600</v>
      </c>
      <c r="B10" s="9" t="s">
        <v>57</v>
      </c>
      <c r="C10" s="64">
        <v>8449550</v>
      </c>
      <c r="D10" s="207">
        <f>-63968-132975</f>
        <v>-196943</v>
      </c>
      <c r="E10" s="64">
        <f>SUM(C10:D10)</f>
        <v>8252607</v>
      </c>
    </row>
    <row r="11" spans="1:5" x14ac:dyDescent="0.25">
      <c r="A11" s="57">
        <v>518975</v>
      </c>
      <c r="B11" s="9" t="s">
        <v>40</v>
      </c>
      <c r="C11" s="64">
        <v>212837</v>
      </c>
      <c r="D11" s="207">
        <f>-5263+4871</f>
        <v>-392</v>
      </c>
      <c r="E11" s="64">
        <f>SUM(C11:D11)</f>
        <v>212445</v>
      </c>
    </row>
    <row r="12" spans="1:5" x14ac:dyDescent="0.25">
      <c r="A12" s="6"/>
      <c r="B12" s="6" t="s">
        <v>102</v>
      </c>
      <c r="C12" s="65">
        <f>SUM(C8:C11)</f>
        <v>8877823</v>
      </c>
      <c r="D12" s="208">
        <f>SUM(D8:D11)</f>
        <v>-197020</v>
      </c>
      <c r="E12" s="65">
        <f>SUM(E8:E11)</f>
        <v>8680803</v>
      </c>
    </row>
    <row r="13" spans="1:5" x14ac:dyDescent="0.25">
      <c r="A13" s="57"/>
      <c r="B13" s="9"/>
      <c r="C13" s="64"/>
      <c r="D13" s="207"/>
      <c r="E13" s="64"/>
    </row>
    <row r="14" spans="1:5" x14ac:dyDescent="0.25">
      <c r="A14" s="20">
        <v>520100</v>
      </c>
      <c r="B14" s="8" t="s">
        <v>15</v>
      </c>
      <c r="C14" s="64">
        <v>587208</v>
      </c>
      <c r="D14" s="207">
        <f>-13361-5562</f>
        <v>-18923</v>
      </c>
      <c r="E14" s="64">
        <f>SUM(C14:D14)</f>
        <v>568285</v>
      </c>
    </row>
    <row r="15" spans="1:5" x14ac:dyDescent="0.25">
      <c r="A15" s="20">
        <v>521100</v>
      </c>
      <c r="B15" s="8" t="s">
        <v>20</v>
      </c>
      <c r="C15" s="64">
        <v>449514</v>
      </c>
      <c r="D15" s="207">
        <f>-2516-10870</f>
        <v>-13386</v>
      </c>
      <c r="E15" s="64">
        <f>SUM(C15:D15)</f>
        <v>436128</v>
      </c>
    </row>
    <row r="16" spans="1:5" x14ac:dyDescent="0.25">
      <c r="A16" s="20">
        <v>520700</v>
      </c>
      <c r="B16" s="8" t="s">
        <v>18</v>
      </c>
      <c r="C16" s="64">
        <v>1345683</v>
      </c>
      <c r="D16" s="207">
        <v>4500</v>
      </c>
      <c r="E16" s="64">
        <f>SUM(C16:D16)</f>
        <v>1350183</v>
      </c>
    </row>
    <row r="17" spans="1:5" x14ac:dyDescent="0.25">
      <c r="A17" s="20">
        <v>520600</v>
      </c>
      <c r="B17" s="8" t="s">
        <v>17</v>
      </c>
      <c r="C17" s="64">
        <v>19915</v>
      </c>
      <c r="D17" s="207"/>
      <c r="E17" s="64">
        <f>SUM(C17:D17)</f>
        <v>19915</v>
      </c>
    </row>
    <row r="18" spans="1:5" x14ac:dyDescent="0.25">
      <c r="A18" s="20">
        <v>520800</v>
      </c>
      <c r="B18" s="8" t="s">
        <v>19</v>
      </c>
      <c r="C18" s="64">
        <v>6370</v>
      </c>
      <c r="D18" s="207"/>
      <c r="E18" s="64">
        <f>SUM(C18:D18)</f>
        <v>6370</v>
      </c>
    </row>
    <row r="19" spans="1:5" x14ac:dyDescent="0.25">
      <c r="A19" s="20"/>
      <c r="B19" s="6" t="s">
        <v>111</v>
      </c>
      <c r="C19" s="65">
        <f>SUM(C14:C18)</f>
        <v>2408690</v>
      </c>
      <c r="D19" s="208">
        <f>SUM(D14:D18)</f>
        <v>-27809</v>
      </c>
      <c r="E19" s="65">
        <f>SUM(E14:E18)</f>
        <v>2380881</v>
      </c>
    </row>
    <row r="20" spans="1:5" x14ac:dyDescent="0.25">
      <c r="A20" s="57"/>
      <c r="B20" s="9"/>
      <c r="C20" s="64"/>
      <c r="D20" s="207"/>
      <c r="E20" s="64"/>
    </row>
    <row r="21" spans="1:5" x14ac:dyDescent="0.25">
      <c r="A21" s="73">
        <v>533100</v>
      </c>
      <c r="B21" s="18" t="s">
        <v>51</v>
      </c>
      <c r="C21" s="64">
        <v>12000</v>
      </c>
      <c r="D21" s="207"/>
      <c r="E21" s="64">
        <f t="shared" ref="E21:E28" si="0">SUM(C21:D21)</f>
        <v>12000</v>
      </c>
    </row>
    <row r="22" spans="1:5" x14ac:dyDescent="0.25">
      <c r="A22" s="73">
        <v>533600</v>
      </c>
      <c r="B22" s="18" t="s">
        <v>307</v>
      </c>
      <c r="C22" s="64">
        <v>47000</v>
      </c>
      <c r="D22" s="207"/>
      <c r="E22" s="64">
        <f t="shared" si="0"/>
        <v>47000</v>
      </c>
    </row>
    <row r="23" spans="1:5" x14ac:dyDescent="0.25">
      <c r="A23" s="73">
        <v>530700</v>
      </c>
      <c r="B23" s="18" t="s">
        <v>1</v>
      </c>
      <c r="C23" s="64">
        <v>30000</v>
      </c>
      <c r="D23" s="207"/>
      <c r="E23" s="64">
        <f t="shared" si="0"/>
        <v>30000</v>
      </c>
    </row>
    <row r="24" spans="1:5" x14ac:dyDescent="0.25">
      <c r="A24" s="73">
        <v>534800</v>
      </c>
      <c r="B24" s="18" t="s">
        <v>335</v>
      </c>
      <c r="C24" s="64">
        <v>4050</v>
      </c>
      <c r="D24" s="207"/>
      <c r="E24" s="64">
        <f t="shared" si="0"/>
        <v>4050</v>
      </c>
    </row>
    <row r="25" spans="1:5" x14ac:dyDescent="0.25">
      <c r="A25" s="73">
        <v>533500</v>
      </c>
      <c r="B25" s="18" t="s">
        <v>308</v>
      </c>
      <c r="C25" s="64">
        <v>445000</v>
      </c>
      <c r="D25" s="207"/>
      <c r="E25" s="64">
        <f t="shared" si="0"/>
        <v>445000</v>
      </c>
    </row>
    <row r="26" spans="1:5" x14ac:dyDescent="0.25">
      <c r="A26" s="73">
        <v>530900</v>
      </c>
      <c r="B26" s="18" t="s">
        <v>79</v>
      </c>
      <c r="C26" s="64">
        <v>434797</v>
      </c>
      <c r="D26" s="207"/>
      <c r="E26" s="64">
        <f t="shared" si="0"/>
        <v>434797</v>
      </c>
    </row>
    <row r="27" spans="1:5" x14ac:dyDescent="0.25">
      <c r="A27" s="73">
        <v>535900</v>
      </c>
      <c r="B27" s="18" t="s">
        <v>356</v>
      </c>
      <c r="C27" s="64">
        <v>150000</v>
      </c>
      <c r="D27" s="207"/>
      <c r="E27" s="64">
        <f t="shared" si="0"/>
        <v>150000</v>
      </c>
    </row>
    <row r="28" spans="1:5" x14ac:dyDescent="0.25">
      <c r="A28" s="73">
        <v>539950</v>
      </c>
      <c r="B28" s="18" t="s">
        <v>277</v>
      </c>
      <c r="C28" s="64">
        <v>10000</v>
      </c>
      <c r="D28" s="207"/>
      <c r="E28" s="64">
        <f t="shared" si="0"/>
        <v>10000</v>
      </c>
    </row>
    <row r="29" spans="1:5" x14ac:dyDescent="0.25">
      <c r="A29" s="6"/>
      <c r="B29" s="19" t="s">
        <v>4</v>
      </c>
      <c r="C29" s="65">
        <f>SUM(C21:C28)</f>
        <v>1132847</v>
      </c>
      <c r="D29" s="208">
        <f>SUM(D21:D28)</f>
        <v>0</v>
      </c>
      <c r="E29" s="65">
        <f>SUM(E21:E28)</f>
        <v>1132847</v>
      </c>
    </row>
    <row r="30" spans="1:5" x14ac:dyDescent="0.25">
      <c r="A30" s="57"/>
      <c r="B30" s="9"/>
      <c r="C30" s="64"/>
      <c r="D30" s="207"/>
      <c r="E30" s="64"/>
    </row>
    <row r="31" spans="1:5" x14ac:dyDescent="0.25">
      <c r="A31" s="73">
        <v>545200</v>
      </c>
      <c r="B31" s="18" t="s">
        <v>71</v>
      </c>
      <c r="C31" s="64">
        <v>9000</v>
      </c>
      <c r="D31" s="207"/>
      <c r="E31" s="64">
        <f t="shared" ref="E31:E38" si="1">SUM(C31:D31)</f>
        <v>9000</v>
      </c>
    </row>
    <row r="32" spans="1:5" x14ac:dyDescent="0.25">
      <c r="A32" s="73">
        <v>545250</v>
      </c>
      <c r="B32" s="18" t="s">
        <v>72</v>
      </c>
      <c r="C32" s="64">
        <v>9040655</v>
      </c>
      <c r="D32" s="207">
        <v>699936</v>
      </c>
      <c r="E32" s="64">
        <f t="shared" si="1"/>
        <v>9740591</v>
      </c>
    </row>
    <row r="33" spans="1:6" x14ac:dyDescent="0.25">
      <c r="A33" s="73">
        <v>545270</v>
      </c>
      <c r="B33" s="18" t="s">
        <v>73</v>
      </c>
      <c r="C33" s="64">
        <v>1803555</v>
      </c>
      <c r="D33" s="207"/>
      <c r="E33" s="64">
        <f t="shared" si="1"/>
        <v>1803555</v>
      </c>
    </row>
    <row r="34" spans="1:6" x14ac:dyDescent="0.25">
      <c r="A34" s="73">
        <v>545280</v>
      </c>
      <c r="B34" s="18" t="s">
        <v>74</v>
      </c>
      <c r="C34" s="64">
        <v>966181</v>
      </c>
      <c r="D34" s="207"/>
      <c r="E34" s="64">
        <f t="shared" si="1"/>
        <v>966181</v>
      </c>
      <c r="F34" s="56"/>
    </row>
    <row r="35" spans="1:6" x14ac:dyDescent="0.25">
      <c r="A35" s="73">
        <v>543500</v>
      </c>
      <c r="B35" s="18" t="s">
        <v>6</v>
      </c>
      <c r="C35" s="64">
        <v>35000</v>
      </c>
      <c r="D35" s="207">
        <v>-6645</v>
      </c>
      <c r="E35" s="64">
        <f t="shared" si="1"/>
        <v>28355</v>
      </c>
    </row>
    <row r="36" spans="1:6" x14ac:dyDescent="0.25">
      <c r="A36" s="73">
        <v>541860</v>
      </c>
      <c r="B36" s="18" t="s">
        <v>96</v>
      </c>
      <c r="C36" s="64">
        <v>7000</v>
      </c>
      <c r="D36" s="207"/>
      <c r="E36" s="64">
        <f t="shared" si="1"/>
        <v>7000</v>
      </c>
    </row>
    <row r="37" spans="1:6" x14ac:dyDescent="0.25">
      <c r="A37" s="73">
        <v>541870</v>
      </c>
      <c r="B37" s="18" t="s">
        <v>75</v>
      </c>
      <c r="C37" s="64">
        <v>550000</v>
      </c>
      <c r="D37" s="207"/>
      <c r="E37" s="64">
        <f t="shared" si="1"/>
        <v>550000</v>
      </c>
    </row>
    <row r="38" spans="1:6" x14ac:dyDescent="0.25">
      <c r="A38" s="73">
        <v>542950</v>
      </c>
      <c r="B38" s="18" t="s">
        <v>29</v>
      </c>
      <c r="C38" s="64">
        <v>500</v>
      </c>
      <c r="D38" s="207">
        <v>-95</v>
      </c>
      <c r="E38" s="64">
        <f t="shared" si="1"/>
        <v>405</v>
      </c>
    </row>
    <row r="39" spans="1:6" s="1" customFormat="1" x14ac:dyDescent="0.25">
      <c r="A39" s="6"/>
      <c r="B39" s="19" t="s">
        <v>9</v>
      </c>
      <c r="C39" s="65">
        <f>SUM(C31:C38)</f>
        <v>12411891</v>
      </c>
      <c r="D39" s="208">
        <f>SUM(D31:D38)</f>
        <v>693196</v>
      </c>
      <c r="E39" s="65">
        <f>SUM(E31:E38)</f>
        <v>13105087</v>
      </c>
    </row>
    <row r="40" spans="1:6" x14ac:dyDescent="0.25">
      <c r="A40" s="57"/>
      <c r="B40" s="9"/>
      <c r="C40" s="64"/>
      <c r="D40" s="207"/>
      <c r="E40" s="64"/>
    </row>
    <row r="41" spans="1:6" x14ac:dyDescent="0.25">
      <c r="A41" s="73">
        <v>571800</v>
      </c>
      <c r="B41" s="18" t="s">
        <v>76</v>
      </c>
      <c r="C41" s="64">
        <v>100000</v>
      </c>
      <c r="D41" s="207"/>
      <c r="E41" s="64">
        <f>SUM(C41:D41)</f>
        <v>100000</v>
      </c>
    </row>
    <row r="42" spans="1:6" s="1" customFormat="1" x14ac:dyDescent="0.25">
      <c r="A42" s="6"/>
      <c r="B42" s="19" t="s">
        <v>45</v>
      </c>
      <c r="C42" s="65">
        <f>SUM(C41)</f>
        <v>100000</v>
      </c>
      <c r="D42" s="208">
        <f>SUM(D41)</f>
        <v>0</v>
      </c>
      <c r="E42" s="65">
        <f>SUM(E41)</f>
        <v>100000</v>
      </c>
    </row>
    <row r="43" spans="1:6" x14ac:dyDescent="0.25">
      <c r="A43" s="57"/>
      <c r="B43" s="9"/>
      <c r="C43" s="64"/>
      <c r="D43" s="207"/>
      <c r="E43" s="64"/>
    </row>
    <row r="44" spans="1:6" x14ac:dyDescent="0.25">
      <c r="A44" s="57">
        <v>550200</v>
      </c>
      <c r="B44" s="9" t="s">
        <v>77</v>
      </c>
      <c r="C44" s="64">
        <v>280671</v>
      </c>
      <c r="D44" s="207"/>
      <c r="E44" s="64">
        <f>SUM(C44:D44)</f>
        <v>280671</v>
      </c>
    </row>
    <row r="45" spans="1:6" x14ac:dyDescent="0.25">
      <c r="A45" s="57">
        <v>559900</v>
      </c>
      <c r="B45" s="9" t="s">
        <v>437</v>
      </c>
      <c r="C45" s="64">
        <v>244888</v>
      </c>
      <c r="D45" s="207"/>
      <c r="E45" s="64">
        <f>SUM(C45:D45)</f>
        <v>244888</v>
      </c>
    </row>
    <row r="46" spans="1:6" x14ac:dyDescent="0.25">
      <c r="A46" s="57"/>
      <c r="B46" s="26" t="s">
        <v>358</v>
      </c>
      <c r="C46" s="64"/>
      <c r="D46" s="207"/>
      <c r="E46" s="64"/>
    </row>
    <row r="47" spans="1:6" x14ac:dyDescent="0.25">
      <c r="A47" s="57">
        <v>559040</v>
      </c>
      <c r="B47" s="9" t="s">
        <v>331</v>
      </c>
      <c r="C47" s="64">
        <v>2915434</v>
      </c>
      <c r="D47" s="207">
        <v>-341255</v>
      </c>
      <c r="E47" s="64">
        <f>SUM(C47:D47)</f>
        <v>2574179</v>
      </c>
    </row>
    <row r="48" spans="1:6" x14ac:dyDescent="0.25">
      <c r="A48" s="57">
        <v>559040</v>
      </c>
      <c r="B48" s="9" t="s">
        <v>332</v>
      </c>
      <c r="C48" s="64">
        <v>1231260</v>
      </c>
      <c r="D48" s="207">
        <v>-358681</v>
      </c>
      <c r="E48" s="64">
        <f>SUM(C48:D48)</f>
        <v>872579</v>
      </c>
    </row>
    <row r="49" spans="1:5" s="1" customFormat="1" x14ac:dyDescent="0.25">
      <c r="A49" s="10"/>
      <c r="B49" s="6" t="s">
        <v>12</v>
      </c>
      <c r="C49" s="65">
        <f>SUM(C44:C48)</f>
        <v>4672253</v>
      </c>
      <c r="D49" s="208">
        <f>SUM(D44:D48)</f>
        <v>-699936</v>
      </c>
      <c r="E49" s="65">
        <f>SUM(E44:E48)</f>
        <v>3972317</v>
      </c>
    </row>
    <row r="50" spans="1:5" x14ac:dyDescent="0.25">
      <c r="A50" s="9"/>
      <c r="B50" s="9"/>
      <c r="C50" s="64"/>
      <c r="D50" s="207"/>
      <c r="E50" s="64"/>
    </row>
    <row r="51" spans="1:5" x14ac:dyDescent="0.25">
      <c r="A51" s="9"/>
      <c r="B51" s="9"/>
      <c r="C51" s="64"/>
      <c r="D51" s="207"/>
      <c r="E51" s="64"/>
    </row>
    <row r="52" spans="1:5" s="23" customFormat="1" ht="15.6" x14ac:dyDescent="0.3">
      <c r="A52" s="12" t="s">
        <v>78</v>
      </c>
      <c r="B52" s="12"/>
      <c r="C52" s="70">
        <f>SUM(C49+C42+C39+C29+C19+C12)</f>
        <v>29603504</v>
      </c>
      <c r="D52" s="209">
        <f>SUM(D49+D42+D39+D29+D19+D12)</f>
        <v>-231569</v>
      </c>
      <c r="E52" s="70">
        <f>SUM(E49+E42+E39+E29+E19+E12)</f>
        <v>29371935</v>
      </c>
    </row>
  </sheetData>
  <mergeCells count="1">
    <mergeCell ref="A4:B4"/>
  </mergeCells>
  <phoneticPr fontId="0" type="noConversion"/>
  <printOptions horizontalCentered="1"/>
  <pageMargins left="0.75" right="0.75" top="1" bottom="1" header="0.5" footer="0.5"/>
  <pageSetup scale="77" firstPageNumber="63" orientation="portrait" useFirstPageNumber="1" r:id="rId1"/>
  <headerFooter alignWithMargins="0">
    <oddFooter>&amp;C&amp;"Arial,Bold"&amp;P</oddFooter>
  </headerFooter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E46"/>
  <sheetViews>
    <sheetView workbookViewId="0">
      <selection activeCell="D14" sqref="D14"/>
    </sheetView>
  </sheetViews>
  <sheetFormatPr defaultRowHeight="13.2" x14ac:dyDescent="0.25"/>
  <cols>
    <col min="1" max="1" width="11.6640625" customWidth="1"/>
    <col min="2" max="2" width="52.6640625" customWidth="1"/>
    <col min="3" max="3" width="17.6640625" customWidth="1"/>
    <col min="4" max="4" width="17.6640625" style="215" customWidth="1"/>
    <col min="5" max="5" width="17.6640625" customWidth="1"/>
  </cols>
  <sheetData>
    <row r="1" spans="1:5" ht="15.6" x14ac:dyDescent="0.3">
      <c r="A1" s="5" t="s">
        <v>261</v>
      </c>
    </row>
    <row r="2" spans="1:5" ht="15.6" x14ac:dyDescent="0.3">
      <c r="A2" s="5" t="s">
        <v>510</v>
      </c>
    </row>
    <row r="3" spans="1:5" ht="13.8" thickBot="1" x14ac:dyDescent="0.3"/>
    <row r="4" spans="1:5" ht="15.6" x14ac:dyDescent="0.3">
      <c r="A4" s="413" t="s">
        <v>55</v>
      </c>
      <c r="B4" s="414"/>
      <c r="C4" s="94" t="s">
        <v>483</v>
      </c>
      <c r="D4" s="356"/>
      <c r="E4" s="362" t="s">
        <v>511</v>
      </c>
    </row>
    <row r="5" spans="1:5" ht="15.6" x14ac:dyDescent="0.3">
      <c r="A5" s="60"/>
      <c r="B5" s="61"/>
      <c r="C5" s="93" t="s">
        <v>345</v>
      </c>
      <c r="D5" s="358"/>
      <c r="E5" s="363" t="s">
        <v>342</v>
      </c>
    </row>
    <row r="6" spans="1:5" ht="16.2" thickBot="1" x14ac:dyDescent="0.35">
      <c r="A6" s="13"/>
      <c r="B6" s="14"/>
      <c r="C6" s="14" t="s">
        <v>290</v>
      </c>
      <c r="D6" s="360" t="s">
        <v>493</v>
      </c>
      <c r="E6" s="364" t="s">
        <v>290</v>
      </c>
    </row>
    <row r="7" spans="1:5" ht="13.8" x14ac:dyDescent="0.25">
      <c r="A7" s="62">
        <v>72620</v>
      </c>
      <c r="B7" s="78" t="s">
        <v>21</v>
      </c>
      <c r="C7" s="25"/>
      <c r="D7" s="216"/>
      <c r="E7" s="25"/>
    </row>
    <row r="8" spans="1:5" x14ac:dyDescent="0.25">
      <c r="A8" s="57">
        <v>516700</v>
      </c>
      <c r="B8" s="9" t="s">
        <v>70</v>
      </c>
      <c r="C8" s="64">
        <v>5238176</v>
      </c>
      <c r="D8" s="207">
        <f>-39656+53950</f>
        <v>14294</v>
      </c>
      <c r="E8" s="64">
        <f>SUM(C8:D8)</f>
        <v>5252470</v>
      </c>
    </row>
    <row r="9" spans="1:5" x14ac:dyDescent="0.25">
      <c r="A9" s="57">
        <v>518975</v>
      </c>
      <c r="B9" s="9" t="s">
        <v>40</v>
      </c>
      <c r="C9" s="64">
        <v>417135</v>
      </c>
      <c r="D9" s="207">
        <f>-10315+9546</f>
        <v>-769</v>
      </c>
      <c r="E9" s="64">
        <f>SUM(C9:D9)</f>
        <v>416366</v>
      </c>
    </row>
    <row r="10" spans="1:5" s="1" customFormat="1" x14ac:dyDescent="0.25">
      <c r="A10" s="6"/>
      <c r="B10" s="6" t="s">
        <v>102</v>
      </c>
      <c r="C10" s="65">
        <f>SUM(C8:C9)</f>
        <v>5655311</v>
      </c>
      <c r="D10" s="208">
        <f>SUM(D8:D9)</f>
        <v>13525</v>
      </c>
      <c r="E10" s="65">
        <f>SUM(E8:E9)</f>
        <v>5668836</v>
      </c>
    </row>
    <row r="11" spans="1:5" x14ac:dyDescent="0.25">
      <c r="A11" s="57"/>
      <c r="B11" s="9"/>
      <c r="C11" s="64"/>
      <c r="D11" s="207"/>
      <c r="E11" s="64"/>
    </row>
    <row r="12" spans="1:5" s="4" customFormat="1" x14ac:dyDescent="0.25">
      <c r="A12" s="20">
        <v>520100</v>
      </c>
      <c r="B12" s="8" t="s">
        <v>15</v>
      </c>
      <c r="C12" s="64">
        <v>379232</v>
      </c>
      <c r="D12" s="207">
        <f>-8629+8679</f>
        <v>50</v>
      </c>
      <c r="E12" s="64">
        <f t="shared" ref="E12:E17" si="0">SUM(C12:D12)</f>
        <v>379282</v>
      </c>
    </row>
    <row r="13" spans="1:5" s="4" customFormat="1" x14ac:dyDescent="0.25">
      <c r="A13" s="20">
        <v>521100</v>
      </c>
      <c r="B13" s="8" t="s">
        <v>20</v>
      </c>
      <c r="C13" s="64">
        <v>265432</v>
      </c>
      <c r="D13" s="207">
        <f>-1485+2734</f>
        <v>1249</v>
      </c>
      <c r="E13" s="64">
        <f t="shared" si="0"/>
        <v>266681</v>
      </c>
    </row>
    <row r="14" spans="1:5" s="4" customFormat="1" x14ac:dyDescent="0.25">
      <c r="A14" s="20">
        <v>520700</v>
      </c>
      <c r="B14" s="8" t="s">
        <v>18</v>
      </c>
      <c r="C14" s="64">
        <v>733162</v>
      </c>
      <c r="D14" s="207"/>
      <c r="E14" s="64">
        <f t="shared" si="0"/>
        <v>733162</v>
      </c>
    </row>
    <row r="15" spans="1:5" s="4" customFormat="1" x14ac:dyDescent="0.25">
      <c r="A15" s="20">
        <v>520600</v>
      </c>
      <c r="B15" s="8" t="s">
        <v>17</v>
      </c>
      <c r="C15" s="64">
        <v>12505</v>
      </c>
      <c r="D15" s="207"/>
      <c r="E15" s="64">
        <f t="shared" si="0"/>
        <v>12505</v>
      </c>
    </row>
    <row r="16" spans="1:5" s="4" customFormat="1" x14ac:dyDescent="0.25">
      <c r="A16" s="20">
        <v>520800</v>
      </c>
      <c r="B16" s="8" t="s">
        <v>19</v>
      </c>
      <c r="C16" s="64">
        <v>3610</v>
      </c>
      <c r="D16" s="207"/>
      <c r="E16" s="64">
        <f t="shared" si="0"/>
        <v>3610</v>
      </c>
    </row>
    <row r="17" spans="1:5" s="4" customFormat="1" x14ac:dyDescent="0.25">
      <c r="A17" s="20">
        <v>529700</v>
      </c>
      <c r="B17" s="8" t="s">
        <v>196</v>
      </c>
      <c r="C17" s="64">
        <v>1275</v>
      </c>
      <c r="D17" s="207"/>
      <c r="E17" s="64">
        <f t="shared" si="0"/>
        <v>1275</v>
      </c>
    </row>
    <row r="18" spans="1:5" s="4" customFormat="1" x14ac:dyDescent="0.25">
      <c r="A18" s="20"/>
      <c r="B18" s="6" t="s">
        <v>111</v>
      </c>
      <c r="C18" s="80">
        <f>SUM(C12:C17)</f>
        <v>1395216</v>
      </c>
      <c r="D18" s="225">
        <f>SUM(D12:D17)</f>
        <v>1299</v>
      </c>
      <c r="E18" s="80">
        <f>SUM(E12:E17)</f>
        <v>1396515</v>
      </c>
    </row>
    <row r="19" spans="1:5" x14ac:dyDescent="0.25">
      <c r="A19" s="57"/>
      <c r="B19" s="9"/>
      <c r="C19" s="64"/>
      <c r="D19" s="207"/>
      <c r="E19" s="64"/>
    </row>
    <row r="20" spans="1:5" x14ac:dyDescent="0.25">
      <c r="A20" s="73">
        <v>539900</v>
      </c>
      <c r="B20" s="18" t="s">
        <v>22</v>
      </c>
      <c r="C20" s="64">
        <v>3000</v>
      </c>
      <c r="D20" s="207"/>
      <c r="E20" s="64">
        <f t="shared" ref="E20:E26" si="1">SUM(C20:D20)</f>
        <v>3000</v>
      </c>
    </row>
    <row r="21" spans="1:5" x14ac:dyDescent="0.25">
      <c r="A21" s="73">
        <v>533600</v>
      </c>
      <c r="B21" s="18" t="s">
        <v>307</v>
      </c>
      <c r="C21" s="64">
        <v>283000</v>
      </c>
      <c r="D21" s="207"/>
      <c r="E21" s="64">
        <f t="shared" si="1"/>
        <v>283000</v>
      </c>
    </row>
    <row r="22" spans="1:5" x14ac:dyDescent="0.25">
      <c r="A22" s="73">
        <v>533800</v>
      </c>
      <c r="B22" s="18" t="s">
        <v>309</v>
      </c>
      <c r="C22" s="64">
        <v>20000</v>
      </c>
      <c r="D22" s="207"/>
      <c r="E22" s="64">
        <f t="shared" si="1"/>
        <v>20000</v>
      </c>
    </row>
    <row r="23" spans="1:5" x14ac:dyDescent="0.25">
      <c r="A23" s="73">
        <v>533500</v>
      </c>
      <c r="B23" s="18" t="s">
        <v>58</v>
      </c>
      <c r="C23" s="64">
        <v>28000</v>
      </c>
      <c r="D23" s="207"/>
      <c r="E23" s="64">
        <f t="shared" si="1"/>
        <v>28000</v>
      </c>
    </row>
    <row r="24" spans="1:5" x14ac:dyDescent="0.25">
      <c r="A24" s="73">
        <v>531200</v>
      </c>
      <c r="B24" s="18" t="s">
        <v>59</v>
      </c>
      <c r="C24" s="64">
        <v>155000</v>
      </c>
      <c r="D24" s="207"/>
      <c r="E24" s="64">
        <f t="shared" si="1"/>
        <v>155000</v>
      </c>
    </row>
    <row r="25" spans="1:5" x14ac:dyDescent="0.25">
      <c r="A25" s="73">
        <v>535500</v>
      </c>
      <c r="B25" s="18" t="s">
        <v>2</v>
      </c>
      <c r="C25" s="64">
        <v>1280</v>
      </c>
      <c r="D25" s="207"/>
      <c r="E25" s="64">
        <f t="shared" si="1"/>
        <v>1280</v>
      </c>
    </row>
    <row r="26" spans="1:5" x14ac:dyDescent="0.25">
      <c r="A26" s="73">
        <v>535520</v>
      </c>
      <c r="B26" s="18" t="s">
        <v>60</v>
      </c>
      <c r="C26" s="64">
        <v>5500</v>
      </c>
      <c r="D26" s="207"/>
      <c r="E26" s="64">
        <f t="shared" si="1"/>
        <v>5500</v>
      </c>
    </row>
    <row r="27" spans="1:5" s="1" customFormat="1" x14ac:dyDescent="0.25">
      <c r="A27" s="6"/>
      <c r="B27" s="19" t="s">
        <v>4</v>
      </c>
      <c r="C27" s="65">
        <f>SUM(C20:C26)</f>
        <v>495780</v>
      </c>
      <c r="D27" s="208">
        <f>SUM(D20:D26)</f>
        <v>0</v>
      </c>
      <c r="E27" s="65">
        <f>SUM(E20:E26)</f>
        <v>495780</v>
      </c>
    </row>
    <row r="28" spans="1:5" x14ac:dyDescent="0.25">
      <c r="A28" s="57"/>
      <c r="B28" s="9"/>
      <c r="C28" s="64"/>
      <c r="D28" s="207"/>
      <c r="E28" s="64"/>
    </row>
    <row r="29" spans="1:5" x14ac:dyDescent="0.25">
      <c r="A29" s="73">
        <v>541300</v>
      </c>
      <c r="B29" s="18" t="s">
        <v>61</v>
      </c>
      <c r="C29" s="64">
        <v>2000</v>
      </c>
      <c r="D29" s="207"/>
      <c r="E29" s="64">
        <f t="shared" ref="E29:E36" si="2">SUM(C29:D29)</f>
        <v>2000</v>
      </c>
    </row>
    <row r="30" spans="1:5" x14ac:dyDescent="0.25">
      <c r="A30" s="73">
        <v>545260</v>
      </c>
      <c r="B30" s="18" t="s">
        <v>5</v>
      </c>
      <c r="C30" s="64">
        <v>293212</v>
      </c>
      <c r="D30" s="207"/>
      <c r="E30" s="64">
        <f t="shared" si="2"/>
        <v>293212</v>
      </c>
    </row>
    <row r="31" spans="1:5" x14ac:dyDescent="0.25">
      <c r="A31" s="73">
        <v>543500</v>
      </c>
      <c r="B31" s="18" t="s">
        <v>6</v>
      </c>
      <c r="C31" s="64">
        <v>141000</v>
      </c>
      <c r="D31" s="207">
        <v>-26769</v>
      </c>
      <c r="E31" s="64">
        <f t="shared" si="2"/>
        <v>114231</v>
      </c>
    </row>
    <row r="32" spans="1:5" x14ac:dyDescent="0.25">
      <c r="A32" s="73">
        <v>541860</v>
      </c>
      <c r="B32" s="18" t="s">
        <v>96</v>
      </c>
      <c r="C32" s="64">
        <v>45000</v>
      </c>
      <c r="D32" s="207"/>
      <c r="E32" s="64">
        <f t="shared" si="2"/>
        <v>45000</v>
      </c>
    </row>
    <row r="33" spans="1:5" x14ac:dyDescent="0.25">
      <c r="A33" s="73">
        <v>541870</v>
      </c>
      <c r="B33" s="18" t="s">
        <v>62</v>
      </c>
      <c r="C33" s="64">
        <v>808000</v>
      </c>
      <c r="D33" s="207">
        <v>38000</v>
      </c>
      <c r="E33" s="64">
        <f t="shared" si="2"/>
        <v>846000</v>
      </c>
    </row>
    <row r="34" spans="1:5" x14ac:dyDescent="0.25">
      <c r="A34" s="73">
        <v>545300</v>
      </c>
      <c r="B34" s="18" t="s">
        <v>7</v>
      </c>
      <c r="C34" s="64">
        <v>200000</v>
      </c>
      <c r="D34" s="207"/>
      <c r="E34" s="64">
        <f t="shared" si="2"/>
        <v>200000</v>
      </c>
    </row>
    <row r="35" spans="1:5" x14ac:dyDescent="0.25">
      <c r="A35" s="73">
        <v>541650</v>
      </c>
      <c r="B35" s="18" t="s">
        <v>63</v>
      </c>
      <c r="C35" s="64">
        <v>414319</v>
      </c>
      <c r="D35" s="207"/>
      <c r="E35" s="64">
        <f t="shared" si="2"/>
        <v>414319</v>
      </c>
    </row>
    <row r="36" spans="1:5" x14ac:dyDescent="0.25">
      <c r="A36" s="73">
        <v>543100</v>
      </c>
      <c r="B36" s="18" t="s">
        <v>64</v>
      </c>
      <c r="C36" s="64">
        <v>5000</v>
      </c>
      <c r="D36" s="207"/>
      <c r="E36" s="64">
        <f t="shared" si="2"/>
        <v>5000</v>
      </c>
    </row>
    <row r="37" spans="1:5" s="1" customFormat="1" x14ac:dyDescent="0.25">
      <c r="A37" s="6"/>
      <c r="B37" s="19" t="s">
        <v>9</v>
      </c>
      <c r="C37" s="65">
        <f>SUM(C29:C36)</f>
        <v>1908531</v>
      </c>
      <c r="D37" s="208">
        <f>SUM(D29:D36)</f>
        <v>11231</v>
      </c>
      <c r="E37" s="65">
        <f>SUM(E29:E36)</f>
        <v>1919762</v>
      </c>
    </row>
    <row r="38" spans="1:5" x14ac:dyDescent="0.25">
      <c r="A38" s="57"/>
      <c r="B38" s="9"/>
      <c r="C38" s="64"/>
      <c r="D38" s="207"/>
      <c r="E38" s="64"/>
    </row>
    <row r="39" spans="1:5" x14ac:dyDescent="0.25">
      <c r="A39" s="73">
        <v>570600</v>
      </c>
      <c r="B39" s="18" t="s">
        <v>66</v>
      </c>
      <c r="C39" s="64">
        <v>64000</v>
      </c>
      <c r="D39" s="207"/>
      <c r="E39" s="64">
        <f>SUM(C39:D39)</f>
        <v>64000</v>
      </c>
    </row>
    <row r="40" spans="1:5" x14ac:dyDescent="0.25">
      <c r="A40" s="73">
        <v>571200</v>
      </c>
      <c r="B40" s="18" t="s">
        <v>67</v>
      </c>
      <c r="C40" s="64">
        <v>10000</v>
      </c>
      <c r="D40" s="207"/>
      <c r="E40" s="64">
        <f>SUM(C40:D40)</f>
        <v>10000</v>
      </c>
    </row>
    <row r="41" spans="1:5" x14ac:dyDescent="0.25">
      <c r="A41" s="73">
        <v>571100</v>
      </c>
      <c r="B41" s="18" t="s">
        <v>44</v>
      </c>
      <c r="C41" s="64">
        <v>50000</v>
      </c>
      <c r="D41" s="207"/>
      <c r="E41" s="64">
        <f>SUM(C41:D41)</f>
        <v>50000</v>
      </c>
    </row>
    <row r="42" spans="1:5" s="1" customFormat="1" x14ac:dyDescent="0.25">
      <c r="A42" s="10"/>
      <c r="B42" s="19" t="s">
        <v>45</v>
      </c>
      <c r="C42" s="65">
        <f>SUM(C39:C41)</f>
        <v>124000</v>
      </c>
      <c r="D42" s="208">
        <f>SUM(D39:D41)</f>
        <v>0</v>
      </c>
      <c r="E42" s="65">
        <f>SUM(E39:E41)</f>
        <v>124000</v>
      </c>
    </row>
    <row r="43" spans="1:5" x14ac:dyDescent="0.25">
      <c r="A43" s="9"/>
      <c r="B43" s="9"/>
      <c r="C43" s="64"/>
      <c r="D43" s="207"/>
      <c r="E43" s="64"/>
    </row>
    <row r="44" spans="1:5" x14ac:dyDescent="0.25">
      <c r="A44" s="9"/>
      <c r="B44" s="9"/>
      <c r="C44" s="64"/>
      <c r="D44" s="207"/>
      <c r="E44" s="64"/>
    </row>
    <row r="45" spans="1:5" s="23" customFormat="1" ht="15.6" x14ac:dyDescent="0.3">
      <c r="A45" s="85" t="s">
        <v>68</v>
      </c>
      <c r="B45" s="12"/>
      <c r="C45" s="70">
        <f>SUM(C42+C37+C27+C18+C10)</f>
        <v>9578838</v>
      </c>
      <c r="D45" s="209">
        <f>SUM(D42+D37+D27+D18+D10)</f>
        <v>26055</v>
      </c>
      <c r="E45" s="70">
        <f>SUM(E42+E37+E27+E18+E10)</f>
        <v>9604893</v>
      </c>
    </row>
    <row r="46" spans="1:5" x14ac:dyDescent="0.25">
      <c r="A46" s="92"/>
    </row>
  </sheetData>
  <mergeCells count="1">
    <mergeCell ref="A4:B4"/>
  </mergeCells>
  <phoneticPr fontId="0" type="noConversion"/>
  <printOptions horizontalCentered="1"/>
  <pageMargins left="0.75" right="0.75" top="1" bottom="1" header="0.5" footer="0.5"/>
  <pageSetup scale="77" firstPageNumber="64" orientation="portrait" useFirstPageNumber="1" r:id="rId1"/>
  <headerFooter alignWithMargins="0">
    <oddFooter>&amp;C&amp;"Arial,Bold"&amp;P</oddFooter>
  </headerFooter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E35"/>
  <sheetViews>
    <sheetView topLeftCell="A4" workbookViewId="0">
      <selection activeCell="D26" sqref="D26"/>
    </sheetView>
  </sheetViews>
  <sheetFormatPr defaultRowHeight="13.2" x14ac:dyDescent="0.25"/>
  <cols>
    <col min="1" max="1" width="11.6640625" customWidth="1"/>
    <col min="2" max="2" width="52.6640625" customWidth="1"/>
    <col min="3" max="3" width="17.6640625" customWidth="1"/>
    <col min="4" max="4" width="17.6640625" style="215" customWidth="1"/>
    <col min="5" max="6" width="17.6640625" customWidth="1"/>
  </cols>
  <sheetData>
    <row r="1" spans="1:5" ht="15.6" x14ac:dyDescent="0.3">
      <c r="A1" s="5" t="s">
        <v>261</v>
      </c>
    </row>
    <row r="2" spans="1:5" ht="15.6" x14ac:dyDescent="0.3">
      <c r="A2" s="5" t="s">
        <v>510</v>
      </c>
    </row>
    <row r="3" spans="1:5" ht="13.8" thickBot="1" x14ac:dyDescent="0.3"/>
    <row r="4" spans="1:5" ht="15.6" x14ac:dyDescent="0.3">
      <c r="A4" s="413" t="s">
        <v>0</v>
      </c>
      <c r="B4" s="414"/>
      <c r="C4" s="94" t="s">
        <v>483</v>
      </c>
      <c r="D4" s="356"/>
      <c r="E4" s="362" t="s">
        <v>511</v>
      </c>
    </row>
    <row r="5" spans="1:5" ht="15.6" x14ac:dyDescent="0.3">
      <c r="A5" s="60"/>
      <c r="B5" s="61"/>
      <c r="C5" s="93" t="s">
        <v>345</v>
      </c>
      <c r="D5" s="358"/>
      <c r="E5" s="363" t="s">
        <v>342</v>
      </c>
    </row>
    <row r="6" spans="1:5" ht="16.2" thickBot="1" x14ac:dyDescent="0.35">
      <c r="A6" s="13"/>
      <c r="B6" s="14"/>
      <c r="C6" s="14" t="s">
        <v>290</v>
      </c>
      <c r="D6" s="360" t="s">
        <v>493</v>
      </c>
      <c r="E6" s="364" t="s">
        <v>290</v>
      </c>
    </row>
    <row r="7" spans="1:5" ht="13.8" x14ac:dyDescent="0.25">
      <c r="A7" s="62">
        <v>72626</v>
      </c>
      <c r="B7" s="78" t="s">
        <v>21</v>
      </c>
      <c r="C7" s="25"/>
      <c r="D7" s="216"/>
      <c r="E7" s="25"/>
    </row>
    <row r="8" spans="1:5" s="4" customFormat="1" x14ac:dyDescent="0.25">
      <c r="A8" s="20">
        <v>518975</v>
      </c>
      <c r="B8" s="8" t="s">
        <v>40</v>
      </c>
      <c r="C8" s="79">
        <v>272717</v>
      </c>
      <c r="D8" s="224">
        <f>-2065+2809</f>
        <v>744</v>
      </c>
      <c r="E8" s="79">
        <f>SUM(C8:D8)</f>
        <v>273461</v>
      </c>
    </row>
    <row r="9" spans="1:5" s="15" customFormat="1" x14ac:dyDescent="0.25">
      <c r="A9" s="6"/>
      <c r="B9" s="6" t="s">
        <v>102</v>
      </c>
      <c r="C9" s="80">
        <f>SUM(C8:C8)</f>
        <v>272717</v>
      </c>
      <c r="D9" s="225">
        <f>SUM(D8:D8)</f>
        <v>744</v>
      </c>
      <c r="E9" s="80">
        <f>SUM(E8:E8)</f>
        <v>273461</v>
      </c>
    </row>
    <row r="10" spans="1:5" s="4" customFormat="1" x14ac:dyDescent="0.25">
      <c r="A10" s="20"/>
      <c r="B10" s="8"/>
      <c r="C10" s="84"/>
      <c r="D10" s="226"/>
      <c r="E10" s="84"/>
    </row>
    <row r="11" spans="1:5" s="4" customFormat="1" x14ac:dyDescent="0.25">
      <c r="A11" s="20">
        <v>520100</v>
      </c>
      <c r="B11" s="8" t="s">
        <v>15</v>
      </c>
      <c r="C11" s="79">
        <v>19620</v>
      </c>
      <c r="D11" s="224">
        <f>-110+202</f>
        <v>92</v>
      </c>
      <c r="E11" s="79">
        <f t="shared" ref="E11:E17" si="0">SUM(C11:D11)</f>
        <v>19712</v>
      </c>
    </row>
    <row r="12" spans="1:5" s="4" customFormat="1" x14ac:dyDescent="0.25">
      <c r="A12" s="20">
        <v>521100</v>
      </c>
      <c r="B12" s="8" t="s">
        <v>20</v>
      </c>
      <c r="C12" s="79">
        <v>8322</v>
      </c>
      <c r="D12" s="224">
        <f>-47+86</f>
        <v>39</v>
      </c>
      <c r="E12" s="79">
        <f t="shared" si="0"/>
        <v>8361</v>
      </c>
    </row>
    <row r="13" spans="1:5" s="4" customFormat="1" x14ac:dyDescent="0.25">
      <c r="A13" s="20">
        <v>520400</v>
      </c>
      <c r="B13" s="8" t="s">
        <v>16</v>
      </c>
      <c r="C13" s="79">
        <v>8495</v>
      </c>
      <c r="D13" s="224"/>
      <c r="E13" s="79">
        <f t="shared" si="0"/>
        <v>8495</v>
      </c>
    </row>
    <row r="14" spans="1:5" s="4" customFormat="1" x14ac:dyDescent="0.25">
      <c r="A14" s="20">
        <v>520700</v>
      </c>
      <c r="B14" s="8" t="s">
        <v>18</v>
      </c>
      <c r="C14" s="79">
        <v>26853</v>
      </c>
      <c r="D14" s="224"/>
      <c r="E14" s="79">
        <f t="shared" si="0"/>
        <v>26853</v>
      </c>
    </row>
    <row r="15" spans="1:5" s="4" customFormat="1" x14ac:dyDescent="0.25">
      <c r="A15" s="20">
        <v>520600</v>
      </c>
      <c r="B15" s="8" t="s">
        <v>17</v>
      </c>
      <c r="C15" s="79">
        <v>480</v>
      </c>
      <c r="D15" s="224"/>
      <c r="E15" s="79">
        <f t="shared" si="0"/>
        <v>480</v>
      </c>
    </row>
    <row r="16" spans="1:5" s="4" customFormat="1" x14ac:dyDescent="0.25">
      <c r="A16" s="20">
        <v>520800</v>
      </c>
      <c r="B16" s="8" t="s">
        <v>19</v>
      </c>
      <c r="C16" s="79">
        <v>195</v>
      </c>
      <c r="D16" s="224"/>
      <c r="E16" s="79">
        <f t="shared" si="0"/>
        <v>195</v>
      </c>
    </row>
    <row r="17" spans="1:5" s="4" customFormat="1" x14ac:dyDescent="0.25">
      <c r="A17" s="20">
        <v>529700</v>
      </c>
      <c r="B17" s="8" t="s">
        <v>196</v>
      </c>
      <c r="C17" s="79">
        <v>3825</v>
      </c>
      <c r="D17" s="224"/>
      <c r="E17" s="79">
        <f t="shared" si="0"/>
        <v>3825</v>
      </c>
    </row>
    <row r="18" spans="1:5" s="4" customFormat="1" x14ac:dyDescent="0.25">
      <c r="A18" s="20"/>
      <c r="B18" s="6" t="s">
        <v>111</v>
      </c>
      <c r="C18" s="80">
        <f>SUM(C11:C17)</f>
        <v>67790</v>
      </c>
      <c r="D18" s="225">
        <f>SUM(D11:D17)</f>
        <v>131</v>
      </c>
      <c r="E18" s="80">
        <f>SUM(E11:E17)</f>
        <v>67921</v>
      </c>
    </row>
    <row r="19" spans="1:5" s="2" customFormat="1" x14ac:dyDescent="0.25">
      <c r="A19" s="6"/>
      <c r="B19" s="6"/>
      <c r="C19" s="66"/>
      <c r="D19" s="207"/>
      <c r="E19" s="66"/>
    </row>
    <row r="20" spans="1:5" x14ac:dyDescent="0.25">
      <c r="A20" s="20">
        <v>530700</v>
      </c>
      <c r="B20" s="8" t="s">
        <v>1</v>
      </c>
      <c r="C20" s="79">
        <v>3600</v>
      </c>
      <c r="D20" s="224"/>
      <c r="E20" s="79">
        <f>SUM(C20:D20)</f>
        <v>3600</v>
      </c>
    </row>
    <row r="21" spans="1:5" x14ac:dyDescent="0.25">
      <c r="A21" s="20">
        <v>535500</v>
      </c>
      <c r="B21" s="26" t="s">
        <v>2</v>
      </c>
      <c r="C21" s="79">
        <v>500</v>
      </c>
      <c r="D21" s="224"/>
      <c r="E21" s="79">
        <f>SUM(C21:D21)</f>
        <v>500</v>
      </c>
    </row>
    <row r="22" spans="1:5" x14ac:dyDescent="0.25">
      <c r="A22" s="20">
        <v>532000</v>
      </c>
      <c r="B22" s="26" t="s">
        <v>3</v>
      </c>
      <c r="C22" s="79">
        <v>300</v>
      </c>
      <c r="D22" s="224"/>
      <c r="E22" s="79">
        <f>SUM(C22:D22)</f>
        <v>300</v>
      </c>
    </row>
    <row r="23" spans="1:5" s="1" customFormat="1" x14ac:dyDescent="0.25">
      <c r="A23" s="6"/>
      <c r="B23" s="6" t="s">
        <v>4</v>
      </c>
      <c r="C23" s="65">
        <f>SUM(C20:C22)</f>
        <v>4400</v>
      </c>
      <c r="D23" s="208">
        <f>SUM(D20:D22)</f>
        <v>0</v>
      </c>
      <c r="E23" s="65">
        <f>SUM(E20:E22)</f>
        <v>4400</v>
      </c>
    </row>
    <row r="24" spans="1:5" x14ac:dyDescent="0.25">
      <c r="A24" s="20"/>
      <c r="B24" s="26"/>
      <c r="C24" s="66"/>
      <c r="D24" s="207"/>
      <c r="E24" s="66"/>
    </row>
    <row r="25" spans="1:5" x14ac:dyDescent="0.25">
      <c r="A25" s="20">
        <v>545260</v>
      </c>
      <c r="B25" s="26" t="s">
        <v>5</v>
      </c>
      <c r="C25" s="79">
        <v>1000</v>
      </c>
      <c r="D25" s="224"/>
      <c r="E25" s="79">
        <f>SUM(C25:D25)</f>
        <v>1000</v>
      </c>
    </row>
    <row r="26" spans="1:5" x14ac:dyDescent="0.25">
      <c r="A26" s="20">
        <v>543500</v>
      </c>
      <c r="B26" s="8" t="s">
        <v>6</v>
      </c>
      <c r="C26" s="79">
        <v>12250</v>
      </c>
      <c r="D26" s="224">
        <v>-2326</v>
      </c>
      <c r="E26" s="79">
        <f>SUM(C26:D26)</f>
        <v>9924</v>
      </c>
    </row>
    <row r="27" spans="1:5" x14ac:dyDescent="0.25">
      <c r="A27" s="20">
        <v>545300</v>
      </c>
      <c r="B27" s="8" t="s">
        <v>7</v>
      </c>
      <c r="C27" s="79">
        <v>750</v>
      </c>
      <c r="D27" s="224"/>
      <c r="E27" s="79">
        <f>SUM(C27:D27)</f>
        <v>750</v>
      </c>
    </row>
    <row r="28" spans="1:5" x14ac:dyDescent="0.25">
      <c r="A28" s="20">
        <v>543200</v>
      </c>
      <c r="B28" s="26" t="s">
        <v>8</v>
      </c>
      <c r="C28" s="79">
        <v>100</v>
      </c>
      <c r="D28" s="224">
        <v>-19</v>
      </c>
      <c r="E28" s="79">
        <f>SUM(C28:D28)</f>
        <v>81</v>
      </c>
    </row>
    <row r="29" spans="1:5" s="1" customFormat="1" x14ac:dyDescent="0.25">
      <c r="A29" s="6"/>
      <c r="B29" s="6" t="s">
        <v>9</v>
      </c>
      <c r="C29" s="65">
        <f>SUM(C25:C28)</f>
        <v>14100</v>
      </c>
      <c r="D29" s="208">
        <f>SUM(D25:D28)</f>
        <v>-2345</v>
      </c>
      <c r="E29" s="65">
        <f>SUM(E25:E28)</f>
        <v>11755</v>
      </c>
    </row>
    <row r="30" spans="1:5" x14ac:dyDescent="0.25">
      <c r="A30" s="20"/>
      <c r="B30" s="26"/>
      <c r="C30" s="66"/>
      <c r="D30" s="207"/>
      <c r="E30" s="66"/>
    </row>
    <row r="31" spans="1:5" x14ac:dyDescent="0.25">
      <c r="A31" s="20">
        <v>552400</v>
      </c>
      <c r="B31" s="26" t="s">
        <v>11</v>
      </c>
      <c r="C31" s="79">
        <v>748</v>
      </c>
      <c r="D31" s="224"/>
      <c r="E31" s="79">
        <f>SUM(C31:D31)</f>
        <v>748</v>
      </c>
    </row>
    <row r="32" spans="1:5" x14ac:dyDescent="0.25">
      <c r="A32" s="26"/>
      <c r="B32" s="6" t="s">
        <v>12</v>
      </c>
      <c r="C32" s="65">
        <f>SUM(C31)</f>
        <v>748</v>
      </c>
      <c r="D32" s="208">
        <f>SUM(D31)</f>
        <v>0</v>
      </c>
      <c r="E32" s="65">
        <f>SUM(E31)</f>
        <v>748</v>
      </c>
    </row>
    <row r="33" spans="1:5" x14ac:dyDescent="0.25">
      <c r="A33" s="9"/>
      <c r="B33" s="9"/>
      <c r="C33" s="64"/>
      <c r="D33" s="207"/>
      <c r="E33" s="64"/>
    </row>
    <row r="34" spans="1:5" x14ac:dyDescent="0.25">
      <c r="A34" s="9"/>
      <c r="B34" s="9"/>
      <c r="C34" s="64"/>
      <c r="D34" s="207"/>
      <c r="E34" s="64"/>
    </row>
    <row r="35" spans="1:5" s="23" customFormat="1" ht="15.6" x14ac:dyDescent="0.3">
      <c r="A35" s="12" t="s">
        <v>13</v>
      </c>
      <c r="B35" s="12"/>
      <c r="C35" s="86">
        <f>SUM(C23+C29+C32+C9+C18)</f>
        <v>359755</v>
      </c>
      <c r="D35" s="227">
        <f>SUM(D23+D29+D32+D9+D18)</f>
        <v>-1470</v>
      </c>
      <c r="E35" s="86">
        <f>SUM(E23+E29+E32+E9+E18)</f>
        <v>358285</v>
      </c>
    </row>
  </sheetData>
  <mergeCells count="1">
    <mergeCell ref="A4:B4"/>
  </mergeCells>
  <phoneticPr fontId="0" type="noConversion"/>
  <printOptions horizontalCentered="1"/>
  <pageMargins left="0.75" right="0.75" top="1" bottom="1" header="0.5" footer="0.5"/>
  <pageSetup scale="77" firstPageNumber="65" orientation="portrait" useFirstPageNumber="1" r:id="rId1"/>
  <headerFooter alignWithMargins="0">
    <oddFooter>&amp;C&amp;"Arial,Bold"&amp;P</oddFooter>
  </headerFooter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E43"/>
  <sheetViews>
    <sheetView workbookViewId="0">
      <selection activeCell="D17" sqref="D17"/>
    </sheetView>
  </sheetViews>
  <sheetFormatPr defaultRowHeight="13.2" x14ac:dyDescent="0.25"/>
  <cols>
    <col min="1" max="1" width="11.6640625" customWidth="1"/>
    <col min="2" max="2" width="52.6640625" customWidth="1"/>
    <col min="3" max="3" width="17.6640625" customWidth="1"/>
    <col min="4" max="4" width="17.6640625" style="215" customWidth="1"/>
    <col min="5" max="5" width="17.6640625" customWidth="1"/>
  </cols>
  <sheetData>
    <row r="1" spans="1:5" ht="15.6" x14ac:dyDescent="0.3">
      <c r="A1" s="5" t="s">
        <v>261</v>
      </c>
    </row>
    <row r="2" spans="1:5" ht="15.6" x14ac:dyDescent="0.3">
      <c r="A2" s="5" t="s">
        <v>510</v>
      </c>
    </row>
    <row r="3" spans="1:5" ht="13.8" thickBot="1" x14ac:dyDescent="0.3"/>
    <row r="4" spans="1:5" ht="15.6" x14ac:dyDescent="0.3">
      <c r="A4" s="413" t="s">
        <v>459</v>
      </c>
      <c r="B4" s="414"/>
      <c r="C4" s="94" t="s">
        <v>483</v>
      </c>
      <c r="D4" s="356"/>
      <c r="E4" s="362" t="s">
        <v>511</v>
      </c>
    </row>
    <row r="5" spans="1:5" ht="15.6" x14ac:dyDescent="0.3">
      <c r="A5" s="60"/>
      <c r="B5" s="61"/>
      <c r="C5" s="93" t="s">
        <v>345</v>
      </c>
      <c r="D5" s="358"/>
      <c r="E5" s="363" t="s">
        <v>342</v>
      </c>
    </row>
    <row r="6" spans="1:5" ht="16.2" thickBot="1" x14ac:dyDescent="0.35">
      <c r="A6" s="13"/>
      <c r="B6" s="14"/>
      <c r="C6" s="14" t="s">
        <v>290</v>
      </c>
      <c r="D6" s="360" t="s">
        <v>493</v>
      </c>
      <c r="E6" s="364" t="s">
        <v>290</v>
      </c>
    </row>
    <row r="7" spans="1:5" ht="13.8" x14ac:dyDescent="0.25">
      <c r="A7" s="62">
        <v>72520</v>
      </c>
      <c r="B7" s="78" t="s">
        <v>26</v>
      </c>
      <c r="C7" s="25"/>
      <c r="D7" s="216"/>
      <c r="E7" s="25"/>
    </row>
    <row r="8" spans="1:5" s="2" customFormat="1" x14ac:dyDescent="0.25">
      <c r="A8" s="20">
        <v>510500</v>
      </c>
      <c r="B8" s="8" t="s">
        <v>240</v>
      </c>
      <c r="C8" s="66">
        <v>505603</v>
      </c>
      <c r="D8" s="207">
        <f>2312+11570-12503</f>
        <v>1379</v>
      </c>
      <c r="E8" s="66">
        <f>SUM(C8:D8)</f>
        <v>506982</v>
      </c>
    </row>
    <row r="9" spans="1:5" x14ac:dyDescent="0.25">
      <c r="A9" s="20">
        <v>516200</v>
      </c>
      <c r="B9" s="8" t="s">
        <v>14</v>
      </c>
      <c r="C9" s="66">
        <v>470979</v>
      </c>
      <c r="D9" s="207">
        <f>-3566+4851</f>
        <v>1285</v>
      </c>
      <c r="E9" s="66">
        <f>SUM(C9:D9)</f>
        <v>472264</v>
      </c>
    </row>
    <row r="10" spans="1:5" x14ac:dyDescent="0.25">
      <c r="A10" s="20">
        <v>518975</v>
      </c>
      <c r="B10" s="8" t="s">
        <v>40</v>
      </c>
      <c r="C10" s="66">
        <v>72684</v>
      </c>
      <c r="D10" s="207">
        <f>-550+749</f>
        <v>199</v>
      </c>
      <c r="E10" s="66">
        <f>SUM(C10:D10)</f>
        <v>72883</v>
      </c>
    </row>
    <row r="11" spans="1:5" x14ac:dyDescent="0.25">
      <c r="A11" s="6"/>
      <c r="B11" s="6" t="s">
        <v>102</v>
      </c>
      <c r="C11" s="80">
        <f>SUM(C8:C10)</f>
        <v>1049266</v>
      </c>
      <c r="D11" s="225">
        <f>SUM(D8:D10)</f>
        <v>2863</v>
      </c>
      <c r="E11" s="80">
        <f>SUM(E8:E10)</f>
        <v>1052129</v>
      </c>
    </row>
    <row r="12" spans="1:5" x14ac:dyDescent="0.25">
      <c r="A12" s="20"/>
      <c r="B12" s="8"/>
      <c r="C12" s="64"/>
      <c r="D12" s="207"/>
      <c r="E12" s="64"/>
    </row>
    <row r="13" spans="1:5" x14ac:dyDescent="0.25">
      <c r="A13" s="20">
        <v>520200</v>
      </c>
      <c r="B13" s="8" t="s">
        <v>157</v>
      </c>
      <c r="C13" s="66">
        <v>1000</v>
      </c>
      <c r="D13" s="207"/>
      <c r="E13" s="66">
        <f t="shared" ref="E13:E20" si="0">SUM(C13:D13)</f>
        <v>1000</v>
      </c>
    </row>
    <row r="14" spans="1:5" x14ac:dyDescent="0.25">
      <c r="A14" s="20">
        <v>520100</v>
      </c>
      <c r="B14" s="8" t="s">
        <v>15</v>
      </c>
      <c r="C14" s="66">
        <v>68229</v>
      </c>
      <c r="D14" s="207">
        <f>312+1561-1553</f>
        <v>320</v>
      </c>
      <c r="E14" s="66">
        <f t="shared" si="0"/>
        <v>68549</v>
      </c>
    </row>
    <row r="15" spans="1:5" x14ac:dyDescent="0.25">
      <c r="A15" s="20">
        <v>521100</v>
      </c>
      <c r="B15" s="8" t="s">
        <v>20</v>
      </c>
      <c r="C15" s="66">
        <v>24345</v>
      </c>
      <c r="D15" s="207">
        <f>-136+251</f>
        <v>115</v>
      </c>
      <c r="E15" s="66">
        <f t="shared" si="0"/>
        <v>24460</v>
      </c>
    </row>
    <row r="16" spans="1:5" x14ac:dyDescent="0.25">
      <c r="A16" s="20">
        <v>520400</v>
      </c>
      <c r="B16" s="8" t="s">
        <v>16</v>
      </c>
      <c r="C16" s="66">
        <v>43803</v>
      </c>
      <c r="D16" s="207">
        <f>200+1738-997</f>
        <v>941</v>
      </c>
      <c r="E16" s="66">
        <f t="shared" si="0"/>
        <v>44744</v>
      </c>
    </row>
    <row r="17" spans="1:5" x14ac:dyDescent="0.25">
      <c r="A17" s="20">
        <v>520700</v>
      </c>
      <c r="B17" s="8" t="s">
        <v>18</v>
      </c>
      <c r="C17" s="66">
        <f>86535+5040</f>
        <v>91575</v>
      </c>
      <c r="D17" s="207"/>
      <c r="E17" s="66">
        <f t="shared" si="0"/>
        <v>91575</v>
      </c>
    </row>
    <row r="18" spans="1:5" x14ac:dyDescent="0.25">
      <c r="A18" s="20">
        <v>520600</v>
      </c>
      <c r="B18" s="8" t="s">
        <v>17</v>
      </c>
      <c r="C18" s="66">
        <f>1291+120</f>
        <v>1411</v>
      </c>
      <c r="D18" s="207"/>
      <c r="E18" s="66">
        <f t="shared" si="0"/>
        <v>1411</v>
      </c>
    </row>
    <row r="19" spans="1:5" x14ac:dyDescent="0.25">
      <c r="A19" s="20">
        <v>520800</v>
      </c>
      <c r="B19" s="8" t="s">
        <v>19</v>
      </c>
      <c r="C19" s="66">
        <f>410+25</f>
        <v>435</v>
      </c>
      <c r="D19" s="207"/>
      <c r="E19" s="66">
        <f t="shared" si="0"/>
        <v>435</v>
      </c>
    </row>
    <row r="20" spans="1:5" x14ac:dyDescent="0.25">
      <c r="A20" s="20">
        <v>529700</v>
      </c>
      <c r="B20" s="8" t="s">
        <v>196</v>
      </c>
      <c r="C20" s="66">
        <f>3825+1275</f>
        <v>5100</v>
      </c>
      <c r="D20" s="207"/>
      <c r="E20" s="66">
        <f t="shared" si="0"/>
        <v>5100</v>
      </c>
    </row>
    <row r="21" spans="1:5" x14ac:dyDescent="0.25">
      <c r="A21" s="20"/>
      <c r="B21" s="6" t="s">
        <v>111</v>
      </c>
      <c r="C21" s="80">
        <f>SUM(C13:C20)</f>
        <v>235898</v>
      </c>
      <c r="D21" s="225">
        <f>SUM(D13:D20)</f>
        <v>1376</v>
      </c>
      <c r="E21" s="80">
        <f>SUM(E13:E20)</f>
        <v>237274</v>
      </c>
    </row>
    <row r="22" spans="1:5" x14ac:dyDescent="0.25">
      <c r="A22" s="57"/>
      <c r="B22" s="9"/>
      <c r="C22" s="64"/>
      <c r="D22" s="207"/>
      <c r="E22" s="64"/>
    </row>
    <row r="23" spans="1:5" x14ac:dyDescent="0.25">
      <c r="A23" s="20">
        <v>534000</v>
      </c>
      <c r="B23" s="26" t="s">
        <v>265</v>
      </c>
      <c r="C23" s="66">
        <v>5000</v>
      </c>
      <c r="D23" s="207"/>
      <c r="E23" s="66">
        <f t="shared" ref="E23:E30" si="1">SUM(C23:D23)</f>
        <v>5000</v>
      </c>
    </row>
    <row r="24" spans="1:5" x14ac:dyDescent="0.25">
      <c r="A24" s="73">
        <v>539900</v>
      </c>
      <c r="B24" s="18" t="s">
        <v>22</v>
      </c>
      <c r="C24" s="66">
        <f>1000+500</f>
        <v>1500</v>
      </c>
      <c r="D24" s="207"/>
      <c r="E24" s="66">
        <f t="shared" si="1"/>
        <v>1500</v>
      </c>
    </row>
    <row r="25" spans="1:5" x14ac:dyDescent="0.25">
      <c r="A25" s="73">
        <v>534800</v>
      </c>
      <c r="B25" s="18" t="s">
        <v>335</v>
      </c>
      <c r="C25" s="66">
        <f>2500+100</f>
        <v>2600</v>
      </c>
      <c r="D25" s="207"/>
      <c r="E25" s="66">
        <f t="shared" si="1"/>
        <v>2600</v>
      </c>
    </row>
    <row r="26" spans="1:5" x14ac:dyDescent="0.25">
      <c r="A26" s="73">
        <v>530900</v>
      </c>
      <c r="B26" s="18" t="s">
        <v>79</v>
      </c>
      <c r="C26" s="66">
        <v>11100</v>
      </c>
      <c r="D26" s="207">
        <v>50000</v>
      </c>
      <c r="E26" s="66">
        <f t="shared" si="1"/>
        <v>61100</v>
      </c>
    </row>
    <row r="27" spans="1:5" x14ac:dyDescent="0.25">
      <c r="A27" s="73">
        <v>531200</v>
      </c>
      <c r="B27" s="18" t="s">
        <v>59</v>
      </c>
      <c r="C27" s="66">
        <v>47800</v>
      </c>
      <c r="D27" s="207"/>
      <c r="E27" s="66">
        <f t="shared" si="1"/>
        <v>47800</v>
      </c>
    </row>
    <row r="28" spans="1:5" x14ac:dyDescent="0.25">
      <c r="A28" s="73">
        <v>535500</v>
      </c>
      <c r="B28" s="18" t="s">
        <v>2</v>
      </c>
      <c r="C28" s="66">
        <f>5000+9000</f>
        <v>14000</v>
      </c>
      <c r="D28" s="207"/>
      <c r="E28" s="66">
        <f t="shared" si="1"/>
        <v>14000</v>
      </c>
    </row>
    <row r="29" spans="1:5" x14ac:dyDescent="0.25">
      <c r="A29" s="73">
        <v>535520</v>
      </c>
      <c r="B29" s="18" t="s">
        <v>24</v>
      </c>
      <c r="C29" s="66">
        <v>1900</v>
      </c>
      <c r="D29" s="207"/>
      <c r="E29" s="66">
        <f t="shared" si="1"/>
        <v>1900</v>
      </c>
    </row>
    <row r="30" spans="1:5" x14ac:dyDescent="0.25">
      <c r="A30" s="73">
        <v>532000</v>
      </c>
      <c r="B30" s="18" t="s">
        <v>80</v>
      </c>
      <c r="C30" s="66">
        <f>1100+400</f>
        <v>1500</v>
      </c>
      <c r="D30" s="207"/>
      <c r="E30" s="66">
        <f t="shared" si="1"/>
        <v>1500</v>
      </c>
    </row>
    <row r="31" spans="1:5" s="1" customFormat="1" x14ac:dyDescent="0.25">
      <c r="A31" s="6"/>
      <c r="B31" s="19" t="s">
        <v>4</v>
      </c>
      <c r="C31" s="65">
        <f>SUM(C23:C30)</f>
        <v>85400</v>
      </c>
      <c r="D31" s="208">
        <f>SUM(D23:D30)</f>
        <v>50000</v>
      </c>
      <c r="E31" s="65">
        <f>SUM(E23:E30)</f>
        <v>135400</v>
      </c>
    </row>
    <row r="32" spans="1:5" x14ac:dyDescent="0.25">
      <c r="A32" s="57"/>
      <c r="B32" s="9"/>
      <c r="C32" s="64"/>
      <c r="D32" s="207"/>
      <c r="E32" s="64"/>
    </row>
    <row r="33" spans="1:5" x14ac:dyDescent="0.25">
      <c r="A33" s="73">
        <v>543500</v>
      </c>
      <c r="B33" s="18" t="s">
        <v>6</v>
      </c>
      <c r="C33" s="66">
        <f>6825+750</f>
        <v>7575</v>
      </c>
      <c r="D33" s="207">
        <v>-1438</v>
      </c>
      <c r="E33" s="66">
        <f>SUM(C33:D33)</f>
        <v>6137</v>
      </c>
    </row>
    <row r="34" spans="1:5" x14ac:dyDescent="0.25">
      <c r="A34" s="73">
        <v>542200</v>
      </c>
      <c r="B34" s="18" t="s">
        <v>25</v>
      </c>
      <c r="C34" s="66">
        <v>625</v>
      </c>
      <c r="D34" s="207">
        <v>-119</v>
      </c>
      <c r="E34" s="66">
        <f>SUM(C34:D34)</f>
        <v>506</v>
      </c>
    </row>
    <row r="35" spans="1:5" x14ac:dyDescent="0.25">
      <c r="A35" s="73">
        <v>543700</v>
      </c>
      <c r="B35" s="18" t="s">
        <v>43</v>
      </c>
      <c r="C35" s="66">
        <v>400</v>
      </c>
      <c r="D35" s="207">
        <v>-76</v>
      </c>
      <c r="E35" s="66">
        <f>SUM(C35:D35)</f>
        <v>324</v>
      </c>
    </row>
    <row r="36" spans="1:5" s="1" customFormat="1" x14ac:dyDescent="0.25">
      <c r="A36" s="6"/>
      <c r="B36" s="19" t="s">
        <v>9</v>
      </c>
      <c r="C36" s="65">
        <f>SUM(C33:C35)</f>
        <v>8600</v>
      </c>
      <c r="D36" s="208">
        <f>SUM(D33:D35)</f>
        <v>-1633</v>
      </c>
      <c r="E36" s="65">
        <f>SUM(E33:E35)</f>
        <v>6967</v>
      </c>
    </row>
    <row r="37" spans="1:5" x14ac:dyDescent="0.25">
      <c r="A37" s="57"/>
      <c r="B37" s="9"/>
      <c r="C37" s="64"/>
      <c r="D37" s="207"/>
      <c r="E37" s="64"/>
    </row>
    <row r="38" spans="1:5" x14ac:dyDescent="0.25">
      <c r="A38" s="57">
        <v>552400</v>
      </c>
      <c r="B38" s="9" t="s">
        <v>11</v>
      </c>
      <c r="C38" s="66">
        <v>6000</v>
      </c>
      <c r="D38" s="207"/>
      <c r="E38" s="66">
        <f>SUM(C38:D38)</f>
        <v>6000</v>
      </c>
    </row>
    <row r="39" spans="1:5" s="1" customFormat="1" x14ac:dyDescent="0.25">
      <c r="A39" s="6"/>
      <c r="B39" s="6" t="s">
        <v>12</v>
      </c>
      <c r="C39" s="65">
        <f>SUM(C38)</f>
        <v>6000</v>
      </c>
      <c r="D39" s="208">
        <f>SUM(D38)</f>
        <v>0</v>
      </c>
      <c r="E39" s="65">
        <f>SUM(E38)</f>
        <v>6000</v>
      </c>
    </row>
    <row r="40" spans="1:5" x14ac:dyDescent="0.25">
      <c r="A40" s="9"/>
      <c r="B40" s="9"/>
      <c r="C40" s="64"/>
      <c r="D40" s="207"/>
      <c r="E40" s="64"/>
    </row>
    <row r="41" spans="1:5" x14ac:dyDescent="0.25">
      <c r="A41" s="9"/>
      <c r="B41" s="9"/>
      <c r="C41" s="64"/>
      <c r="D41" s="207"/>
      <c r="E41" s="64"/>
    </row>
    <row r="42" spans="1:5" s="23" customFormat="1" ht="15.6" x14ac:dyDescent="0.3">
      <c r="A42" s="12" t="s">
        <v>460</v>
      </c>
      <c r="B42" s="12"/>
      <c r="C42" s="70">
        <f>SUM(C11+C21+C31+C36+C39)</f>
        <v>1385164</v>
      </c>
      <c r="D42" s="209">
        <f>SUM(D11+D21+D31+D36+D39)</f>
        <v>52606</v>
      </c>
      <c r="E42" s="70">
        <f>SUM(E11+E21+E31+E36+E39)</f>
        <v>1437770</v>
      </c>
    </row>
    <row r="43" spans="1:5" x14ac:dyDescent="0.25">
      <c r="A43" s="92"/>
    </row>
  </sheetData>
  <mergeCells count="1">
    <mergeCell ref="A4:B4"/>
  </mergeCells>
  <phoneticPr fontId="0" type="noConversion"/>
  <printOptions horizontalCentered="1"/>
  <pageMargins left="0.75" right="0.75" top="1" bottom="1" header="0.5" footer="0.5"/>
  <pageSetup scale="77" firstPageNumber="66" orientation="portrait" useFirstPageNumber="1" r:id="rId1"/>
  <headerFooter alignWithMargins="0">
    <oddFooter>&amp;C&amp;"Arial,Bold"&amp;P</oddFooter>
  </headerFooter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4"/>
  <sheetViews>
    <sheetView workbookViewId="0">
      <selection activeCell="D16" sqref="D16"/>
    </sheetView>
  </sheetViews>
  <sheetFormatPr defaultRowHeight="13.2" x14ac:dyDescent="0.25"/>
  <cols>
    <col min="1" max="1" width="11.6640625" customWidth="1"/>
    <col min="2" max="2" width="52.6640625" customWidth="1"/>
    <col min="3" max="5" width="17.6640625" customWidth="1"/>
  </cols>
  <sheetData>
    <row r="1" spans="1:5" ht="15.6" x14ac:dyDescent="0.3">
      <c r="A1" s="5" t="s">
        <v>261</v>
      </c>
      <c r="D1" s="215"/>
    </row>
    <row r="2" spans="1:5" ht="15.6" x14ac:dyDescent="0.3">
      <c r="A2" s="5" t="s">
        <v>510</v>
      </c>
      <c r="D2" s="215"/>
    </row>
    <row r="3" spans="1:5" ht="13.8" thickBot="1" x14ac:dyDescent="0.3">
      <c r="D3" s="215"/>
    </row>
    <row r="4" spans="1:5" ht="15.6" x14ac:dyDescent="0.3">
      <c r="A4" s="413" t="s">
        <v>461</v>
      </c>
      <c r="B4" s="414"/>
      <c r="C4" s="94" t="s">
        <v>483</v>
      </c>
      <c r="D4" s="356"/>
      <c r="E4" s="362" t="s">
        <v>511</v>
      </c>
    </row>
    <row r="5" spans="1:5" ht="15.6" x14ac:dyDescent="0.3">
      <c r="A5" s="60"/>
      <c r="B5" s="61"/>
      <c r="C5" s="93" t="s">
        <v>345</v>
      </c>
      <c r="D5" s="358"/>
      <c r="E5" s="363" t="s">
        <v>342</v>
      </c>
    </row>
    <row r="6" spans="1:5" ht="16.2" thickBot="1" x14ac:dyDescent="0.35">
      <c r="A6" s="13"/>
      <c r="B6" s="14"/>
      <c r="C6" s="14" t="s">
        <v>290</v>
      </c>
      <c r="D6" s="360" t="s">
        <v>493</v>
      </c>
      <c r="E6" s="364" t="s">
        <v>290</v>
      </c>
    </row>
    <row r="7" spans="1:5" ht="13.8" x14ac:dyDescent="0.25">
      <c r="A7" s="62">
        <v>72530</v>
      </c>
      <c r="B7" s="78" t="s">
        <v>26</v>
      </c>
      <c r="C7" s="25"/>
      <c r="D7" s="216"/>
      <c r="E7" s="25"/>
    </row>
    <row r="8" spans="1:5" x14ac:dyDescent="0.25">
      <c r="A8" s="20">
        <v>510500</v>
      </c>
      <c r="B8" s="8" t="s">
        <v>240</v>
      </c>
      <c r="C8" s="66">
        <v>110625</v>
      </c>
      <c r="D8" s="207">
        <f>506+2532-2736</f>
        <v>302</v>
      </c>
      <c r="E8" s="66">
        <f>SUM(C8:D8)</f>
        <v>110927</v>
      </c>
    </row>
    <row r="9" spans="1:5" x14ac:dyDescent="0.25">
      <c r="A9" s="20">
        <v>516200</v>
      </c>
      <c r="B9" s="8" t="s">
        <v>14</v>
      </c>
      <c r="C9" s="66">
        <v>113834</v>
      </c>
      <c r="D9" s="207">
        <f>-862+1172</f>
        <v>310</v>
      </c>
      <c r="E9" s="66">
        <f>SUM(C9:D9)</f>
        <v>114144</v>
      </c>
    </row>
    <row r="10" spans="1:5" x14ac:dyDescent="0.25">
      <c r="A10" s="20">
        <v>518975</v>
      </c>
      <c r="B10" s="8" t="s">
        <v>40</v>
      </c>
      <c r="C10" s="66">
        <v>262143</v>
      </c>
      <c r="D10" s="207">
        <f>-1985+2700</f>
        <v>715</v>
      </c>
      <c r="E10" s="66">
        <f>SUM(C10:D10)</f>
        <v>262858</v>
      </c>
    </row>
    <row r="11" spans="1:5" x14ac:dyDescent="0.25">
      <c r="A11" s="6"/>
      <c r="B11" s="6" t="s">
        <v>102</v>
      </c>
      <c r="C11" s="80">
        <f>SUM(C8:C10)</f>
        <v>486602</v>
      </c>
      <c r="D11" s="225">
        <f>SUM(D8:D10)</f>
        <v>1327</v>
      </c>
      <c r="E11" s="80">
        <f>SUM(E8:E10)</f>
        <v>487929</v>
      </c>
    </row>
    <row r="12" spans="1:5" x14ac:dyDescent="0.25">
      <c r="A12" s="20"/>
      <c r="B12" s="8"/>
      <c r="C12" s="64"/>
      <c r="D12" s="207"/>
      <c r="E12" s="64"/>
    </row>
    <row r="13" spans="1:5" x14ac:dyDescent="0.25">
      <c r="A13" s="20">
        <v>520100</v>
      </c>
      <c r="B13" s="8" t="s">
        <v>15</v>
      </c>
      <c r="C13" s="66">
        <v>35971</v>
      </c>
      <c r="D13" s="207">
        <f>164+823-818</f>
        <v>169</v>
      </c>
      <c r="E13" s="66">
        <f t="shared" ref="E13:E19" si="0">SUM(C13:D13)</f>
        <v>36140</v>
      </c>
    </row>
    <row r="14" spans="1:5" x14ac:dyDescent="0.25">
      <c r="A14" s="20">
        <v>521100</v>
      </c>
      <c r="B14" s="8" t="s">
        <v>20</v>
      </c>
      <c r="C14" s="66">
        <v>30737</v>
      </c>
      <c r="D14" s="207">
        <f>-172+317</f>
        <v>145</v>
      </c>
      <c r="E14" s="66">
        <f t="shared" si="0"/>
        <v>30882</v>
      </c>
    </row>
    <row r="15" spans="1:5" x14ac:dyDescent="0.25">
      <c r="A15" s="20">
        <v>520400</v>
      </c>
      <c r="B15" s="8" t="s">
        <v>16</v>
      </c>
      <c r="C15" s="66">
        <v>8967</v>
      </c>
      <c r="D15" s="207">
        <f>41+356-204</f>
        <v>193</v>
      </c>
      <c r="E15" s="66">
        <f t="shared" si="0"/>
        <v>9160</v>
      </c>
    </row>
    <row r="16" spans="1:5" x14ac:dyDescent="0.25">
      <c r="A16" s="20">
        <v>520700</v>
      </c>
      <c r="B16" s="8" t="s">
        <v>18</v>
      </c>
      <c r="C16" s="66">
        <v>34142</v>
      </c>
      <c r="D16" s="207"/>
      <c r="E16" s="66">
        <f t="shared" si="0"/>
        <v>34142</v>
      </c>
    </row>
    <row r="17" spans="1:5" x14ac:dyDescent="0.25">
      <c r="A17" s="20">
        <v>520600</v>
      </c>
      <c r="B17" s="8" t="s">
        <v>17</v>
      </c>
      <c r="C17" s="66">
        <v>306</v>
      </c>
      <c r="D17" s="207"/>
      <c r="E17" s="66">
        <f t="shared" si="0"/>
        <v>306</v>
      </c>
    </row>
    <row r="18" spans="1:5" x14ac:dyDescent="0.25">
      <c r="A18" s="20">
        <v>520800</v>
      </c>
      <c r="B18" s="8" t="s">
        <v>19</v>
      </c>
      <c r="C18" s="66">
        <v>288</v>
      </c>
      <c r="D18" s="207"/>
      <c r="E18" s="66">
        <f t="shared" si="0"/>
        <v>288</v>
      </c>
    </row>
    <row r="19" spans="1:5" x14ac:dyDescent="0.25">
      <c r="A19" s="20">
        <v>529700</v>
      </c>
      <c r="B19" s="8" t="s">
        <v>196</v>
      </c>
      <c r="C19" s="66">
        <v>6120</v>
      </c>
      <c r="D19" s="207"/>
      <c r="E19" s="66">
        <f t="shared" si="0"/>
        <v>6120</v>
      </c>
    </row>
    <row r="20" spans="1:5" x14ac:dyDescent="0.25">
      <c r="A20" s="20"/>
      <c r="B20" s="6" t="s">
        <v>111</v>
      </c>
      <c r="C20" s="80">
        <f>SUM(C13:C19)</f>
        <v>116531</v>
      </c>
      <c r="D20" s="225">
        <f>SUM(D13:D19)</f>
        <v>507</v>
      </c>
      <c r="E20" s="80">
        <f>SUM(E13:E19)</f>
        <v>117038</v>
      </c>
    </row>
    <row r="21" spans="1:5" x14ac:dyDescent="0.25">
      <c r="A21" s="57"/>
      <c r="B21" s="9"/>
      <c r="C21" s="64"/>
      <c r="D21" s="207"/>
      <c r="E21" s="64"/>
    </row>
    <row r="22" spans="1:5" x14ac:dyDescent="0.25">
      <c r="A22" s="20">
        <v>533600</v>
      </c>
      <c r="B22" s="26" t="s">
        <v>303</v>
      </c>
      <c r="C22" s="66">
        <v>132</v>
      </c>
      <c r="D22" s="207"/>
      <c r="E22" s="66">
        <f t="shared" ref="E22:E27" si="1">SUM(C22:D22)</f>
        <v>132</v>
      </c>
    </row>
    <row r="23" spans="1:5" x14ac:dyDescent="0.25">
      <c r="A23" s="73">
        <v>539900</v>
      </c>
      <c r="B23" s="18" t="s">
        <v>22</v>
      </c>
      <c r="C23" s="66">
        <v>631</v>
      </c>
      <c r="D23" s="207"/>
      <c r="E23" s="66">
        <f t="shared" si="1"/>
        <v>631</v>
      </c>
    </row>
    <row r="24" spans="1:5" x14ac:dyDescent="0.25">
      <c r="A24" s="73">
        <v>534800</v>
      </c>
      <c r="B24" s="18" t="s">
        <v>335</v>
      </c>
      <c r="C24" s="66">
        <v>132</v>
      </c>
      <c r="D24" s="207"/>
      <c r="E24" s="66">
        <f t="shared" si="1"/>
        <v>132</v>
      </c>
    </row>
    <row r="25" spans="1:5" x14ac:dyDescent="0.25">
      <c r="A25" s="73">
        <v>535500</v>
      </c>
      <c r="B25" s="18" t="s">
        <v>2</v>
      </c>
      <c r="C25" s="66">
        <v>526</v>
      </c>
      <c r="D25" s="207"/>
      <c r="E25" s="66">
        <f t="shared" si="1"/>
        <v>526</v>
      </c>
    </row>
    <row r="26" spans="1:5" x14ac:dyDescent="0.25">
      <c r="A26" s="73">
        <v>535520</v>
      </c>
      <c r="B26" s="18" t="s">
        <v>24</v>
      </c>
      <c r="C26" s="66">
        <v>132</v>
      </c>
      <c r="D26" s="207"/>
      <c r="E26" s="66">
        <f t="shared" si="1"/>
        <v>132</v>
      </c>
    </row>
    <row r="27" spans="1:5" x14ac:dyDescent="0.25">
      <c r="A27" s="73">
        <v>532000</v>
      </c>
      <c r="B27" s="18" t="s">
        <v>80</v>
      </c>
      <c r="C27" s="66">
        <v>526</v>
      </c>
      <c r="D27" s="207"/>
      <c r="E27" s="66">
        <f t="shared" si="1"/>
        <v>526</v>
      </c>
    </row>
    <row r="28" spans="1:5" x14ac:dyDescent="0.25">
      <c r="A28" s="6"/>
      <c r="B28" s="19" t="s">
        <v>4</v>
      </c>
      <c r="C28" s="65">
        <f>SUM(C22:C27)</f>
        <v>2079</v>
      </c>
      <c r="D28" s="208">
        <f>SUM(D22:D27)</f>
        <v>0</v>
      </c>
      <c r="E28" s="65">
        <f>SUM(E22:E27)</f>
        <v>2079</v>
      </c>
    </row>
    <row r="29" spans="1:5" x14ac:dyDescent="0.25">
      <c r="A29" s="57"/>
      <c r="B29" s="9"/>
      <c r="C29" s="64"/>
      <c r="D29" s="207"/>
      <c r="E29" s="64"/>
    </row>
    <row r="30" spans="1:5" x14ac:dyDescent="0.25">
      <c r="A30" s="73">
        <v>543500</v>
      </c>
      <c r="B30" s="18" t="s">
        <v>6</v>
      </c>
      <c r="C30" s="66">
        <v>5065</v>
      </c>
      <c r="D30" s="207">
        <v>-962</v>
      </c>
      <c r="E30" s="66">
        <f>SUM(C30:D30)</f>
        <v>4103</v>
      </c>
    </row>
    <row r="31" spans="1:5" x14ac:dyDescent="0.25">
      <c r="A31" s="73">
        <v>542900</v>
      </c>
      <c r="B31" s="18" t="s">
        <v>28</v>
      </c>
      <c r="C31" s="66">
        <v>1052</v>
      </c>
      <c r="D31" s="207">
        <v>-200</v>
      </c>
      <c r="E31" s="66">
        <f>SUM(C31:D31)</f>
        <v>852</v>
      </c>
    </row>
    <row r="32" spans="1:5" x14ac:dyDescent="0.25">
      <c r="A32" s="6"/>
      <c r="B32" s="19" t="s">
        <v>9</v>
      </c>
      <c r="C32" s="65">
        <f>+C31+C30</f>
        <v>6117</v>
      </c>
      <c r="D32" s="208">
        <f>+D31+D30</f>
        <v>-1162</v>
      </c>
      <c r="E32" s="65">
        <f>+E31+E30</f>
        <v>4955</v>
      </c>
    </row>
    <row r="33" spans="1:5" x14ac:dyDescent="0.25">
      <c r="A33" s="57"/>
      <c r="B33" s="9"/>
      <c r="C33" s="64"/>
      <c r="D33" s="207"/>
      <c r="E33" s="64"/>
    </row>
    <row r="34" spans="1:5" ht="15.6" x14ac:dyDescent="0.3">
      <c r="A34" s="12" t="s">
        <v>462</v>
      </c>
      <c r="B34" s="12"/>
      <c r="C34" s="70">
        <f>SUM(C11+C20+C28+C32)</f>
        <v>611329</v>
      </c>
      <c r="D34" s="209">
        <f>SUM(D11+D20+D28+D32)</f>
        <v>672</v>
      </c>
      <c r="E34" s="70">
        <f>SUM(E11+E20+E28+E32)</f>
        <v>612001</v>
      </c>
    </row>
  </sheetData>
  <mergeCells count="1">
    <mergeCell ref="A4:B4"/>
  </mergeCells>
  <printOptions horizontalCentered="1"/>
  <pageMargins left="0.7" right="0.7" top="1" bottom="1" header="0.3" footer="0.3"/>
  <pageSetup scale="78" firstPageNumber="67" orientation="portrait" useFirstPageNumber="1" r:id="rId1"/>
  <headerFooter>
    <oddFooter>&amp;C&amp;"Arial,Bold"&amp;P</oddFooter>
  </headerFooter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7"/>
  <sheetViews>
    <sheetView workbookViewId="0">
      <selection activeCell="D13" sqref="D13"/>
    </sheetView>
  </sheetViews>
  <sheetFormatPr defaultRowHeight="13.2" x14ac:dyDescent="0.25"/>
  <cols>
    <col min="1" max="1" width="11.6640625" customWidth="1"/>
    <col min="2" max="2" width="52.6640625" customWidth="1"/>
    <col min="3" max="3" width="17.6640625" customWidth="1"/>
    <col min="4" max="4" width="17.6640625" style="215" customWidth="1"/>
    <col min="5" max="6" width="17.6640625" customWidth="1"/>
  </cols>
  <sheetData>
    <row r="1" spans="1:5" ht="15.6" x14ac:dyDescent="0.3">
      <c r="A1" s="5" t="s">
        <v>261</v>
      </c>
    </row>
    <row r="2" spans="1:5" ht="15.6" x14ac:dyDescent="0.3">
      <c r="A2" s="5" t="s">
        <v>510</v>
      </c>
    </row>
    <row r="3" spans="1:5" ht="13.8" thickBot="1" x14ac:dyDescent="0.3"/>
    <row r="4" spans="1:5" ht="15.6" x14ac:dyDescent="0.3">
      <c r="A4" s="413" t="s">
        <v>26</v>
      </c>
      <c r="B4" s="414"/>
      <c r="C4" s="94" t="s">
        <v>483</v>
      </c>
      <c r="D4" s="211"/>
      <c r="E4" s="95" t="s">
        <v>511</v>
      </c>
    </row>
    <row r="5" spans="1:5" ht="15.6" x14ac:dyDescent="0.3">
      <c r="A5" s="60"/>
      <c r="B5" s="61"/>
      <c r="C5" s="93" t="s">
        <v>345</v>
      </c>
      <c r="D5" s="237"/>
      <c r="E5" s="96" t="s">
        <v>342</v>
      </c>
    </row>
    <row r="6" spans="1:5" ht="16.2" thickBot="1" x14ac:dyDescent="0.35">
      <c r="A6" s="13"/>
      <c r="B6" s="14"/>
      <c r="C6" s="14" t="s">
        <v>290</v>
      </c>
      <c r="D6" s="212" t="s">
        <v>493</v>
      </c>
      <c r="E6" s="97" t="s">
        <v>290</v>
      </c>
    </row>
    <row r="7" spans="1:5" ht="13.8" x14ac:dyDescent="0.25">
      <c r="A7" s="62">
        <v>72810</v>
      </c>
      <c r="B7" s="78" t="s">
        <v>26</v>
      </c>
      <c r="C7" s="25"/>
      <c r="D7" s="216"/>
      <c r="E7" s="25"/>
    </row>
    <row r="8" spans="1:5" x14ac:dyDescent="0.25">
      <c r="A8" s="20">
        <v>518975</v>
      </c>
      <c r="B8" s="26" t="s">
        <v>40</v>
      </c>
      <c r="C8" s="66">
        <v>24915</v>
      </c>
      <c r="D8" s="207">
        <f>114+570-567</f>
        <v>117</v>
      </c>
      <c r="E8" s="66">
        <f>SUM(C8:D8)</f>
        <v>25032</v>
      </c>
    </row>
    <row r="9" spans="1:5" x14ac:dyDescent="0.25">
      <c r="A9" s="6"/>
      <c r="B9" s="6" t="s">
        <v>102</v>
      </c>
      <c r="C9" s="65">
        <f>SUM(C8:C8)</f>
        <v>24915</v>
      </c>
      <c r="D9" s="208">
        <f>SUM(D8:D8)</f>
        <v>117</v>
      </c>
      <c r="E9" s="65">
        <f>SUM(E8:E8)</f>
        <v>25032</v>
      </c>
    </row>
    <row r="10" spans="1:5" x14ac:dyDescent="0.25">
      <c r="A10" s="20"/>
      <c r="B10" s="26"/>
      <c r="C10" s="66"/>
      <c r="D10" s="207"/>
      <c r="E10" s="66"/>
    </row>
    <row r="11" spans="1:5" x14ac:dyDescent="0.25">
      <c r="A11" s="20">
        <v>520100</v>
      </c>
      <c r="B11" s="26" t="s">
        <v>15</v>
      </c>
      <c r="C11" s="66">
        <v>2027</v>
      </c>
      <c r="D11" s="207">
        <f>9+46-46</f>
        <v>9</v>
      </c>
      <c r="E11" s="66">
        <f>SUM(C11:D11)</f>
        <v>2036</v>
      </c>
    </row>
    <row r="12" spans="1:5" x14ac:dyDescent="0.25">
      <c r="A12" s="20">
        <v>520400</v>
      </c>
      <c r="B12" s="26" t="s">
        <v>16</v>
      </c>
      <c r="C12" s="66">
        <v>4545</v>
      </c>
      <c r="D12" s="207">
        <f>21+180-103</f>
        <v>98</v>
      </c>
      <c r="E12" s="66">
        <f>SUM(C12:D12)</f>
        <v>4643</v>
      </c>
    </row>
    <row r="13" spans="1:5" x14ac:dyDescent="0.25">
      <c r="A13" s="20">
        <v>520700</v>
      </c>
      <c r="B13" s="26" t="s">
        <v>18</v>
      </c>
      <c r="C13" s="66">
        <v>4395</v>
      </c>
      <c r="D13" s="207" t="s">
        <v>291</v>
      </c>
      <c r="E13" s="66">
        <f>SUM(C13:D13)</f>
        <v>4395</v>
      </c>
    </row>
    <row r="14" spans="1:5" x14ac:dyDescent="0.25">
      <c r="A14" s="26"/>
      <c r="B14" s="6" t="s">
        <v>111</v>
      </c>
      <c r="C14" s="65">
        <f>SUM(C11:C13)</f>
        <v>10967</v>
      </c>
      <c r="D14" s="208">
        <f>SUM(D11:D13)</f>
        <v>107</v>
      </c>
      <c r="E14" s="65">
        <f>SUM(E11:E13)</f>
        <v>11074</v>
      </c>
    </row>
    <row r="15" spans="1:5" x14ac:dyDescent="0.25">
      <c r="A15" s="9"/>
      <c r="B15" s="28"/>
      <c r="C15" s="64"/>
      <c r="D15" s="207"/>
      <c r="E15" s="64"/>
    </row>
    <row r="16" spans="1:5" x14ac:dyDescent="0.25">
      <c r="A16" s="9"/>
      <c r="B16" s="9"/>
      <c r="C16" s="64"/>
      <c r="D16" s="207"/>
      <c r="E16" s="64"/>
    </row>
    <row r="17" spans="1:5" s="23" customFormat="1" ht="15.6" x14ac:dyDescent="0.3">
      <c r="A17" s="12" t="s">
        <v>262</v>
      </c>
      <c r="B17" s="12"/>
      <c r="C17" s="70">
        <f>SUM(C9+C14)</f>
        <v>35882</v>
      </c>
      <c r="D17" s="209">
        <f>SUM(D9+D14)</f>
        <v>224</v>
      </c>
      <c r="E17" s="70">
        <f>SUM(E9+E14)</f>
        <v>36106</v>
      </c>
    </row>
  </sheetData>
  <mergeCells count="1">
    <mergeCell ref="A4:B4"/>
  </mergeCells>
  <phoneticPr fontId="0" type="noConversion"/>
  <printOptions horizontalCentered="1"/>
  <pageMargins left="0.75" right="0.75" top="1" bottom="1" header="0.5" footer="0.5"/>
  <pageSetup scale="77" firstPageNumber="68" orientation="portrait" useFirstPageNumber="1" r:id="rId1"/>
  <headerFooter alignWithMargins="0">
    <oddFooter>&amp;C&amp;"Arial,Bold"&amp;P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7"/>
  <sheetViews>
    <sheetView zoomScaleNormal="100" workbookViewId="0">
      <selection activeCell="A3" sqref="A3"/>
    </sheetView>
  </sheetViews>
  <sheetFormatPr defaultRowHeight="13.2" x14ac:dyDescent="0.25"/>
  <cols>
    <col min="1" max="1" width="11.88671875" customWidth="1"/>
    <col min="2" max="2" width="53" customWidth="1"/>
    <col min="3" max="5" width="17.6640625" customWidth="1"/>
  </cols>
  <sheetData>
    <row r="1" spans="1:5" ht="15.6" x14ac:dyDescent="0.3">
      <c r="A1" s="5" t="s">
        <v>261</v>
      </c>
      <c r="D1" s="215"/>
    </row>
    <row r="2" spans="1:5" ht="15.6" x14ac:dyDescent="0.3">
      <c r="A2" s="5" t="s">
        <v>510</v>
      </c>
      <c r="D2" s="215"/>
    </row>
    <row r="3" spans="1:5" ht="13.8" thickBot="1" x14ac:dyDescent="0.3">
      <c r="D3" s="215"/>
    </row>
    <row r="4" spans="1:5" ht="15.6" x14ac:dyDescent="0.3">
      <c r="A4" s="413" t="s">
        <v>484</v>
      </c>
      <c r="B4" s="414"/>
      <c r="C4" s="94" t="s">
        <v>483</v>
      </c>
      <c r="D4" s="356"/>
      <c r="E4" s="362" t="s">
        <v>511</v>
      </c>
    </row>
    <row r="5" spans="1:5" ht="15.6" x14ac:dyDescent="0.3">
      <c r="A5" s="60"/>
      <c r="B5" s="61"/>
      <c r="C5" s="93" t="s">
        <v>345</v>
      </c>
      <c r="D5" s="358"/>
      <c r="E5" s="363" t="s">
        <v>342</v>
      </c>
    </row>
    <row r="6" spans="1:5" ht="16.2" thickBot="1" x14ac:dyDescent="0.35">
      <c r="A6" s="13"/>
      <c r="B6" s="14"/>
      <c r="C6" s="14" t="s">
        <v>290</v>
      </c>
      <c r="D6" s="360" t="s">
        <v>493</v>
      </c>
      <c r="E6" s="364" t="s">
        <v>290</v>
      </c>
    </row>
    <row r="7" spans="1:5" ht="13.8" x14ac:dyDescent="0.25">
      <c r="A7" s="62">
        <v>72261</v>
      </c>
      <c r="B7" s="78" t="s">
        <v>37</v>
      </c>
      <c r="C7" s="22"/>
      <c r="D7" s="218"/>
      <c r="E7" s="22"/>
    </row>
    <row r="8" spans="1:5" x14ac:dyDescent="0.25">
      <c r="A8" s="57"/>
      <c r="B8" s="9"/>
      <c r="C8" s="64"/>
      <c r="D8" s="207"/>
      <c r="E8" s="64"/>
    </row>
    <row r="9" spans="1:5" x14ac:dyDescent="0.25">
      <c r="A9" s="57">
        <v>543500</v>
      </c>
      <c r="B9" s="9" t="s">
        <v>6</v>
      </c>
      <c r="C9" s="64">
        <v>2500</v>
      </c>
      <c r="D9" s="207"/>
      <c r="E9" s="64">
        <f>SUM(C9:D9)</f>
        <v>2500</v>
      </c>
    </row>
    <row r="10" spans="1:5" x14ac:dyDescent="0.25">
      <c r="A10" s="20">
        <v>542950</v>
      </c>
      <c r="B10" s="26" t="s">
        <v>29</v>
      </c>
      <c r="C10" s="64">
        <v>150</v>
      </c>
      <c r="D10" s="207"/>
      <c r="E10" s="64">
        <f>SUM(C10:D10)</f>
        <v>150</v>
      </c>
    </row>
    <row r="11" spans="1:5" x14ac:dyDescent="0.25">
      <c r="A11" s="6"/>
      <c r="B11" s="6" t="s">
        <v>9</v>
      </c>
      <c r="C11" s="65">
        <f>SUM(C9:C10)</f>
        <v>2650</v>
      </c>
      <c r="D11" s="208">
        <f>SUM(D9:D10)</f>
        <v>0</v>
      </c>
      <c r="E11" s="65">
        <f>SUM(E9:E10)</f>
        <v>2650</v>
      </c>
    </row>
    <row r="12" spans="1:5" x14ac:dyDescent="0.25">
      <c r="A12" s="57"/>
      <c r="B12" s="9"/>
      <c r="C12" s="64"/>
      <c r="D12" s="207"/>
      <c r="E12" s="64"/>
    </row>
    <row r="13" spans="1:5" x14ac:dyDescent="0.25">
      <c r="A13" s="20">
        <v>552400</v>
      </c>
      <c r="B13" s="8" t="s">
        <v>11</v>
      </c>
      <c r="C13" s="64">
        <v>3350</v>
      </c>
      <c r="D13" s="207"/>
      <c r="E13" s="64">
        <f>SUM(C13:D13)</f>
        <v>3350</v>
      </c>
    </row>
    <row r="14" spans="1:5" x14ac:dyDescent="0.25">
      <c r="A14" s="10"/>
      <c r="B14" s="6" t="s">
        <v>12</v>
      </c>
      <c r="C14" s="65">
        <f>SUM(C13)</f>
        <v>3350</v>
      </c>
      <c r="D14" s="208">
        <f>SUM(D13)</f>
        <v>0</v>
      </c>
      <c r="E14" s="65">
        <f>SUM(E13)</f>
        <v>3350</v>
      </c>
    </row>
    <row r="15" spans="1:5" x14ac:dyDescent="0.25">
      <c r="A15" s="9"/>
      <c r="B15" s="9"/>
      <c r="C15" s="64"/>
      <c r="D15" s="207"/>
      <c r="E15" s="64"/>
    </row>
    <row r="16" spans="1:5" x14ac:dyDescent="0.25">
      <c r="A16" s="9"/>
      <c r="B16" s="9"/>
      <c r="C16" s="64"/>
      <c r="D16" s="207"/>
      <c r="E16" s="64"/>
    </row>
    <row r="17" spans="1:5" ht="15.6" x14ac:dyDescent="0.3">
      <c r="A17" s="12" t="s">
        <v>464</v>
      </c>
      <c r="B17" s="12"/>
      <c r="C17" s="70">
        <f>+C14+C11</f>
        <v>6000</v>
      </c>
      <c r="D17" s="209">
        <f>+D14+D11</f>
        <v>0</v>
      </c>
      <c r="E17" s="70">
        <f>+E14+E11</f>
        <v>6000</v>
      </c>
    </row>
  </sheetData>
  <mergeCells count="1">
    <mergeCell ref="A4:B4"/>
  </mergeCells>
  <pageMargins left="0.7" right="0.7" top="0.75" bottom="0.75" header="0.3" footer="0.3"/>
  <pageSetup scale="78" firstPageNumber="6" orientation="portrait" useFirstPageNumber="1" r:id="rId1"/>
  <headerFooter>
    <oddFooter>&amp;C&amp;"Arial,Bold"&amp;P</oddFooter>
  </headerFooter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E41"/>
  <sheetViews>
    <sheetView workbookViewId="0">
      <selection activeCell="D16" sqref="D16"/>
    </sheetView>
  </sheetViews>
  <sheetFormatPr defaultRowHeight="13.2" x14ac:dyDescent="0.25"/>
  <cols>
    <col min="1" max="1" width="11.6640625" customWidth="1"/>
    <col min="2" max="2" width="52.6640625" customWidth="1"/>
    <col min="3" max="3" width="17.6640625" customWidth="1"/>
    <col min="4" max="4" width="17.6640625" style="215" customWidth="1"/>
    <col min="5" max="5" width="17.6640625" customWidth="1"/>
  </cols>
  <sheetData>
    <row r="1" spans="1:5" ht="15.6" x14ac:dyDescent="0.3">
      <c r="A1" s="5" t="s">
        <v>261</v>
      </c>
    </row>
    <row r="2" spans="1:5" ht="15.6" x14ac:dyDescent="0.3">
      <c r="A2" s="5" t="s">
        <v>510</v>
      </c>
    </row>
    <row r="3" spans="1:5" ht="13.8" thickBot="1" x14ac:dyDescent="0.3"/>
    <row r="4" spans="1:5" ht="15.6" x14ac:dyDescent="0.3">
      <c r="A4" s="413" t="s">
        <v>258</v>
      </c>
      <c r="B4" s="414"/>
      <c r="C4" s="94" t="s">
        <v>483</v>
      </c>
      <c r="D4" s="356"/>
      <c r="E4" s="362" t="s">
        <v>511</v>
      </c>
    </row>
    <row r="5" spans="1:5" ht="15.6" x14ac:dyDescent="0.3">
      <c r="A5" s="60"/>
      <c r="B5" s="61"/>
      <c r="C5" s="93" t="s">
        <v>345</v>
      </c>
      <c r="D5" s="358"/>
      <c r="E5" s="363" t="s">
        <v>342</v>
      </c>
    </row>
    <row r="6" spans="1:5" ht="16.2" thickBot="1" x14ac:dyDescent="0.35">
      <c r="A6" s="13"/>
      <c r="B6" s="14"/>
      <c r="C6" s="14" t="s">
        <v>290</v>
      </c>
      <c r="D6" s="360" t="s">
        <v>493</v>
      </c>
      <c r="E6" s="364" t="s">
        <v>290</v>
      </c>
    </row>
    <row r="7" spans="1:5" ht="13.8" x14ac:dyDescent="0.25">
      <c r="A7" s="62">
        <v>72812</v>
      </c>
      <c r="B7" s="78" t="s">
        <v>26</v>
      </c>
      <c r="C7" s="25"/>
      <c r="D7" s="216"/>
      <c r="E7" s="25"/>
    </row>
    <row r="8" spans="1:5" x14ac:dyDescent="0.25">
      <c r="A8" s="20">
        <v>516100</v>
      </c>
      <c r="B8" s="26" t="s">
        <v>56</v>
      </c>
      <c r="C8" s="66">
        <v>51048</v>
      </c>
      <c r="D8" s="207">
        <f>-386+526</f>
        <v>140</v>
      </c>
      <c r="E8" s="66">
        <f>SUM(C8:D8)</f>
        <v>51188</v>
      </c>
    </row>
    <row r="9" spans="1:5" x14ac:dyDescent="0.25">
      <c r="A9" s="20">
        <v>512100</v>
      </c>
      <c r="B9" s="26" t="s">
        <v>482</v>
      </c>
      <c r="C9" s="66">
        <v>3155609</v>
      </c>
      <c r="D9" s="207">
        <f>14430+165214-78033</f>
        <v>101611</v>
      </c>
      <c r="E9" s="66">
        <f>SUM(C9:D9)</f>
        <v>3257220</v>
      </c>
    </row>
    <row r="10" spans="1:5" x14ac:dyDescent="0.25">
      <c r="A10" s="20">
        <v>519500</v>
      </c>
      <c r="B10" s="26" t="s">
        <v>110</v>
      </c>
      <c r="C10" s="66">
        <v>13000</v>
      </c>
      <c r="D10" s="207"/>
      <c r="E10" s="66">
        <f>SUM(C10:D10)</f>
        <v>13000</v>
      </c>
    </row>
    <row r="11" spans="1:5" x14ac:dyDescent="0.25">
      <c r="A11" s="6"/>
      <c r="B11" s="6" t="s">
        <v>102</v>
      </c>
      <c r="C11" s="65">
        <f>SUM(C8:C10)</f>
        <v>3219657</v>
      </c>
      <c r="D11" s="223">
        <f>SUM(D8:D10)</f>
        <v>101751</v>
      </c>
      <c r="E11" s="65">
        <f>SUM(E8:E10)</f>
        <v>3321408</v>
      </c>
    </row>
    <row r="12" spans="1:5" x14ac:dyDescent="0.25">
      <c r="A12" s="20"/>
      <c r="B12" s="26"/>
      <c r="C12" s="66"/>
      <c r="D12" s="207"/>
      <c r="E12" s="66"/>
    </row>
    <row r="13" spans="1:5" x14ac:dyDescent="0.25">
      <c r="A13" s="20">
        <v>520100</v>
      </c>
      <c r="B13" s="26" t="s">
        <v>15</v>
      </c>
      <c r="C13" s="66">
        <v>230187</v>
      </c>
      <c r="D13" s="207">
        <f>1053+12268-5238</f>
        <v>8083</v>
      </c>
      <c r="E13" s="66">
        <f t="shared" ref="E13:E19" si="0">SUM(C13:D13)</f>
        <v>238270</v>
      </c>
    </row>
    <row r="14" spans="1:5" x14ac:dyDescent="0.25">
      <c r="A14" s="20">
        <v>521100</v>
      </c>
      <c r="B14" s="26" t="s">
        <v>20</v>
      </c>
      <c r="C14" s="66">
        <v>176397</v>
      </c>
      <c r="D14" s="207">
        <f>-987+1817</f>
        <v>830</v>
      </c>
      <c r="E14" s="66">
        <f t="shared" si="0"/>
        <v>177227</v>
      </c>
    </row>
    <row r="15" spans="1:5" x14ac:dyDescent="0.25">
      <c r="A15" s="20">
        <v>520400</v>
      </c>
      <c r="B15" s="26" t="s">
        <v>16</v>
      </c>
      <c r="C15" s="66">
        <v>36667</v>
      </c>
      <c r="D15" s="207">
        <f>168+1455-834</f>
        <v>789</v>
      </c>
      <c r="E15" s="66">
        <f t="shared" si="0"/>
        <v>37456</v>
      </c>
    </row>
    <row r="16" spans="1:5" x14ac:dyDescent="0.25">
      <c r="A16" s="20">
        <v>520700</v>
      </c>
      <c r="B16" s="26" t="s">
        <v>18</v>
      </c>
      <c r="C16" s="66">
        <v>193294</v>
      </c>
      <c r="D16" s="207"/>
      <c r="E16" s="66">
        <f t="shared" si="0"/>
        <v>193294</v>
      </c>
    </row>
    <row r="17" spans="1:5" x14ac:dyDescent="0.25">
      <c r="A17" s="20">
        <v>520600</v>
      </c>
      <c r="B17" s="26" t="s">
        <v>17</v>
      </c>
      <c r="C17" s="66">
        <v>2335</v>
      </c>
      <c r="D17" s="207"/>
      <c r="E17" s="66">
        <f t="shared" si="0"/>
        <v>2335</v>
      </c>
    </row>
    <row r="18" spans="1:5" x14ac:dyDescent="0.25">
      <c r="A18" s="20">
        <v>520800</v>
      </c>
      <c r="B18" s="26" t="s">
        <v>19</v>
      </c>
      <c r="C18" s="66">
        <v>900</v>
      </c>
      <c r="D18" s="207"/>
      <c r="E18" s="66">
        <f t="shared" si="0"/>
        <v>900</v>
      </c>
    </row>
    <row r="19" spans="1:5" x14ac:dyDescent="0.25">
      <c r="A19" s="20">
        <v>529700</v>
      </c>
      <c r="B19" s="26" t="s">
        <v>196</v>
      </c>
      <c r="C19" s="66">
        <v>6375</v>
      </c>
      <c r="D19" s="207"/>
      <c r="E19" s="66">
        <f t="shared" si="0"/>
        <v>6375</v>
      </c>
    </row>
    <row r="20" spans="1:5" x14ac:dyDescent="0.25">
      <c r="A20" s="6"/>
      <c r="B20" s="6" t="s">
        <v>111</v>
      </c>
      <c r="C20" s="65">
        <f>SUM(C13:C19)</f>
        <v>646155</v>
      </c>
      <c r="D20" s="208">
        <f>SUM(D13:D19)</f>
        <v>9702</v>
      </c>
      <c r="E20" s="65">
        <f>SUM(E13:E19)</f>
        <v>655857</v>
      </c>
    </row>
    <row r="21" spans="1:5" x14ac:dyDescent="0.25">
      <c r="A21" s="20"/>
      <c r="B21" s="26"/>
      <c r="C21" s="66"/>
      <c r="D21" s="207"/>
      <c r="E21" s="66"/>
    </row>
    <row r="22" spans="1:5" x14ac:dyDescent="0.25">
      <c r="A22" s="20">
        <v>533600</v>
      </c>
      <c r="B22" s="26" t="s">
        <v>295</v>
      </c>
      <c r="C22" s="66">
        <v>547500</v>
      </c>
      <c r="D22" s="207"/>
      <c r="E22" s="66">
        <f>SUM(C22:D22)</f>
        <v>547500</v>
      </c>
    </row>
    <row r="23" spans="1:5" x14ac:dyDescent="0.25">
      <c r="A23" s="20">
        <v>530700</v>
      </c>
      <c r="B23" s="26" t="s">
        <v>1</v>
      </c>
      <c r="C23" s="66">
        <v>35000</v>
      </c>
      <c r="D23" s="207"/>
      <c r="E23" s="66">
        <f>SUM(C23:D23)</f>
        <v>35000</v>
      </c>
    </row>
    <row r="24" spans="1:5" x14ac:dyDescent="0.25">
      <c r="A24" s="20">
        <v>533400</v>
      </c>
      <c r="B24" s="26" t="s">
        <v>518</v>
      </c>
      <c r="C24" s="66">
        <v>0</v>
      </c>
      <c r="D24" s="207">
        <v>106000</v>
      </c>
      <c r="E24" s="66">
        <f>SUM(C24:D24)</f>
        <v>106000</v>
      </c>
    </row>
    <row r="25" spans="1:5" x14ac:dyDescent="0.25">
      <c r="A25" s="204">
        <v>535500</v>
      </c>
      <c r="B25" s="26" t="s">
        <v>2</v>
      </c>
      <c r="C25" s="66">
        <v>34300</v>
      </c>
      <c r="D25" s="207"/>
      <c r="E25" s="66">
        <f>SUM(C25:D25)</f>
        <v>34300</v>
      </c>
    </row>
    <row r="26" spans="1:5" x14ac:dyDescent="0.25">
      <c r="A26" s="204">
        <v>539900</v>
      </c>
      <c r="B26" s="26" t="s">
        <v>527</v>
      </c>
      <c r="C26" s="66">
        <v>100000</v>
      </c>
      <c r="D26" s="207">
        <v>-100000</v>
      </c>
      <c r="E26" s="66">
        <f>SUM(C26:D26)</f>
        <v>0</v>
      </c>
    </row>
    <row r="27" spans="1:5" x14ac:dyDescent="0.25">
      <c r="A27" s="6"/>
      <c r="B27" s="6" t="s">
        <v>4</v>
      </c>
      <c r="C27" s="65">
        <f>SUM(C22:C26)</f>
        <v>716800</v>
      </c>
      <c r="D27" s="208">
        <f>SUM(D22:D26)</f>
        <v>6000</v>
      </c>
      <c r="E27" s="65">
        <f>SUM(E22:E26)</f>
        <v>722800</v>
      </c>
    </row>
    <row r="28" spans="1:5" x14ac:dyDescent="0.25">
      <c r="A28" s="20"/>
      <c r="B28" s="26"/>
      <c r="C28" s="66"/>
      <c r="D28" s="207"/>
      <c r="E28" s="66"/>
    </row>
    <row r="29" spans="1:5" x14ac:dyDescent="0.25">
      <c r="A29" s="20">
        <v>543500</v>
      </c>
      <c r="B29" s="26" t="s">
        <v>6</v>
      </c>
      <c r="C29" s="66">
        <v>77823</v>
      </c>
      <c r="D29" s="207">
        <v>-14775</v>
      </c>
      <c r="E29" s="66">
        <f>SUM(C29:D29)</f>
        <v>63048</v>
      </c>
    </row>
    <row r="30" spans="1:5" x14ac:dyDescent="0.25">
      <c r="A30" s="20">
        <v>541860</v>
      </c>
      <c r="B30" s="26" t="s">
        <v>113</v>
      </c>
      <c r="C30" s="66">
        <v>75000</v>
      </c>
      <c r="D30" s="207"/>
      <c r="E30" s="66">
        <f>SUM(C30:D30)</f>
        <v>75000</v>
      </c>
    </row>
    <row r="31" spans="1:5" x14ac:dyDescent="0.25">
      <c r="A31" s="6"/>
      <c r="B31" s="6" t="s">
        <v>9</v>
      </c>
      <c r="C31" s="65">
        <f>SUM(C29:C30)</f>
        <v>152823</v>
      </c>
      <c r="D31" s="208">
        <f>SUM(D29:D30)</f>
        <v>-14775</v>
      </c>
      <c r="E31" s="65">
        <f>SUM(E29:E30)</f>
        <v>138048</v>
      </c>
    </row>
    <row r="32" spans="1:5" x14ac:dyDescent="0.25">
      <c r="A32" s="20"/>
      <c r="B32" s="26"/>
      <c r="C32" s="66"/>
      <c r="D32" s="207"/>
      <c r="E32" s="66"/>
    </row>
    <row r="33" spans="1:5" x14ac:dyDescent="0.25">
      <c r="A33" s="20">
        <v>570900</v>
      </c>
      <c r="B33" s="26" t="s">
        <v>174</v>
      </c>
      <c r="C33" s="66">
        <v>241543</v>
      </c>
      <c r="D33" s="207"/>
      <c r="E33" s="66">
        <f>SUM(C33:D33)</f>
        <v>241543</v>
      </c>
    </row>
    <row r="34" spans="1:5" x14ac:dyDescent="0.25">
      <c r="A34" s="6"/>
      <c r="B34" s="6" t="s">
        <v>45</v>
      </c>
      <c r="C34" s="65">
        <f>SUM(C33)</f>
        <v>241543</v>
      </c>
      <c r="D34" s="208">
        <f>SUM(D33)</f>
        <v>0</v>
      </c>
      <c r="E34" s="65">
        <f>SUM(E33)</f>
        <v>241543</v>
      </c>
    </row>
    <row r="35" spans="1:5" x14ac:dyDescent="0.25">
      <c r="A35" s="20"/>
      <c r="B35" s="26"/>
      <c r="C35" s="66"/>
      <c r="D35" s="207"/>
      <c r="E35" s="66"/>
    </row>
    <row r="36" spans="1:5" x14ac:dyDescent="0.25">
      <c r="A36" s="20">
        <v>559000</v>
      </c>
      <c r="B36" s="26" t="s">
        <v>519</v>
      </c>
      <c r="C36" s="66">
        <v>250000</v>
      </c>
      <c r="D36" s="207">
        <v>200000</v>
      </c>
      <c r="E36" s="66">
        <f>SUM(C36:D36)</f>
        <v>450000</v>
      </c>
    </row>
    <row r="37" spans="1:5" x14ac:dyDescent="0.25">
      <c r="A37" s="20">
        <v>552400</v>
      </c>
      <c r="B37" s="26" t="s">
        <v>11</v>
      </c>
      <c r="C37" s="66">
        <v>14963</v>
      </c>
      <c r="D37" s="207"/>
      <c r="E37" s="66">
        <f>SUM(C37:D37)</f>
        <v>14963</v>
      </c>
    </row>
    <row r="38" spans="1:5" s="23" customFormat="1" ht="13.8" x14ac:dyDescent="0.25">
      <c r="A38" s="16"/>
      <c r="B38" s="6" t="s">
        <v>12</v>
      </c>
      <c r="C38" s="65">
        <f>SUM(C36:C37)</f>
        <v>264963</v>
      </c>
      <c r="D38" s="65">
        <f>SUM(D36:D37)</f>
        <v>200000</v>
      </c>
      <c r="E38" s="65">
        <f>SUM(E36:E37)</f>
        <v>464963</v>
      </c>
    </row>
    <row r="39" spans="1:5" x14ac:dyDescent="0.25">
      <c r="A39" s="41"/>
      <c r="B39" s="44"/>
      <c r="C39" s="64"/>
      <c r="D39" s="207"/>
      <c r="E39" s="64"/>
    </row>
    <row r="40" spans="1:5" x14ac:dyDescent="0.25">
      <c r="A40" s="41"/>
      <c r="B40" s="44"/>
      <c r="C40" s="64"/>
      <c r="D40" s="207"/>
      <c r="E40" s="64"/>
    </row>
    <row r="41" spans="1:5" ht="15.6" x14ac:dyDescent="0.3">
      <c r="A41" s="76" t="s">
        <v>260</v>
      </c>
      <c r="B41" s="12"/>
      <c r="C41" s="70">
        <f>SUM(C11+C20+C27+C31+C38+C34)</f>
        <v>5241941</v>
      </c>
      <c r="D41" s="209">
        <f>SUM(D11+D20+D27+D31+D38+D34)</f>
        <v>302678</v>
      </c>
      <c r="E41" s="70">
        <f>SUM(E11+E20+E27+E31+E38+E34)</f>
        <v>5544619</v>
      </c>
    </row>
  </sheetData>
  <mergeCells count="1">
    <mergeCell ref="A4:B4"/>
  </mergeCells>
  <phoneticPr fontId="0" type="noConversion"/>
  <printOptions horizontalCentered="1"/>
  <pageMargins left="0.75" right="0.75" top="1" bottom="1" header="0.5" footer="0.5"/>
  <pageSetup scale="77" firstPageNumber="69" orientation="portrait" useFirstPageNumber="1" r:id="rId1"/>
  <headerFooter alignWithMargins="0">
    <oddFooter>&amp;C&amp;"Arial,Bold"&amp;P</oddFooter>
  </headerFooter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2"/>
  <sheetViews>
    <sheetView workbookViewId="0">
      <selection activeCell="B30" sqref="B30"/>
    </sheetView>
  </sheetViews>
  <sheetFormatPr defaultRowHeight="13.2" x14ac:dyDescent="0.25"/>
  <cols>
    <col min="1" max="1" width="11.6640625" customWidth="1"/>
    <col min="2" max="2" width="52.6640625" customWidth="1"/>
    <col min="3" max="5" width="17.6640625" customWidth="1"/>
  </cols>
  <sheetData>
    <row r="1" spans="1:5" ht="15.6" x14ac:dyDescent="0.3">
      <c r="A1" s="5" t="s">
        <v>261</v>
      </c>
      <c r="D1" s="215"/>
    </row>
    <row r="2" spans="1:5" ht="15.6" x14ac:dyDescent="0.3">
      <c r="A2" s="5" t="s">
        <v>510</v>
      </c>
      <c r="D2" s="215"/>
    </row>
    <row r="3" spans="1:5" ht="13.8" thickBot="1" x14ac:dyDescent="0.3">
      <c r="D3" s="215"/>
    </row>
    <row r="4" spans="1:5" ht="15.6" x14ac:dyDescent="0.3">
      <c r="A4" s="413" t="s">
        <v>520</v>
      </c>
      <c r="B4" s="414"/>
      <c r="C4" s="94" t="s">
        <v>483</v>
      </c>
      <c r="D4" s="356"/>
      <c r="E4" s="362" t="s">
        <v>511</v>
      </c>
    </row>
    <row r="5" spans="1:5" ht="15.6" x14ac:dyDescent="0.3">
      <c r="A5" s="60"/>
      <c r="B5" s="61"/>
      <c r="C5" s="93" t="s">
        <v>345</v>
      </c>
      <c r="D5" s="358"/>
      <c r="E5" s="363" t="s">
        <v>342</v>
      </c>
    </row>
    <row r="6" spans="1:5" ht="16.2" thickBot="1" x14ac:dyDescent="0.35">
      <c r="A6" s="13"/>
      <c r="B6" s="14"/>
      <c r="C6" s="14" t="s">
        <v>290</v>
      </c>
      <c r="D6" s="360" t="s">
        <v>493</v>
      </c>
      <c r="E6" s="364" t="s">
        <v>290</v>
      </c>
    </row>
    <row r="7" spans="1:5" ht="13.8" x14ac:dyDescent="0.25">
      <c r="A7" s="62" t="s">
        <v>521</v>
      </c>
      <c r="B7" s="78" t="s">
        <v>26</v>
      </c>
      <c r="C7" s="25"/>
      <c r="D7" s="216"/>
      <c r="E7" s="25"/>
    </row>
    <row r="8" spans="1:5" x14ac:dyDescent="0.25">
      <c r="A8" s="20"/>
      <c r="B8" s="26"/>
      <c r="C8" s="66"/>
      <c r="D8" s="207"/>
      <c r="E8" s="66"/>
    </row>
    <row r="9" spans="1:5" x14ac:dyDescent="0.25">
      <c r="A9" s="20">
        <v>530700</v>
      </c>
      <c r="B9" s="26" t="s">
        <v>1</v>
      </c>
      <c r="C9" s="66">
        <v>0</v>
      </c>
      <c r="D9" s="207">
        <v>1400</v>
      </c>
      <c r="E9" s="66">
        <f>SUM(C9:D9)</f>
        <v>1400</v>
      </c>
    </row>
    <row r="10" spans="1:5" x14ac:dyDescent="0.25">
      <c r="A10" s="20">
        <v>532000</v>
      </c>
      <c r="B10" s="26" t="s">
        <v>522</v>
      </c>
      <c r="C10" s="66">
        <v>0</v>
      </c>
      <c r="D10" s="207">
        <v>1000</v>
      </c>
      <c r="E10" s="66">
        <f>SUM(C10:D10)</f>
        <v>1000</v>
      </c>
    </row>
    <row r="11" spans="1:5" x14ac:dyDescent="0.25">
      <c r="A11" s="20">
        <v>534800</v>
      </c>
      <c r="B11" s="26" t="s">
        <v>523</v>
      </c>
      <c r="C11" s="66">
        <v>0</v>
      </c>
      <c r="D11" s="207">
        <v>400</v>
      </c>
      <c r="E11" s="66">
        <f>SUM(C11:D11)</f>
        <v>400</v>
      </c>
    </row>
    <row r="12" spans="1:5" x14ac:dyDescent="0.25">
      <c r="A12" s="6"/>
      <c r="B12" s="6" t="s">
        <v>4</v>
      </c>
      <c r="C12" s="65">
        <f>SUM(C9:C11)</f>
        <v>0</v>
      </c>
      <c r="D12" s="208">
        <f>SUM(D9:D11)</f>
        <v>2800</v>
      </c>
      <c r="E12" s="65">
        <f>SUM(E9:E11)</f>
        <v>2800</v>
      </c>
    </row>
    <row r="13" spans="1:5" x14ac:dyDescent="0.25">
      <c r="A13" s="20"/>
      <c r="B13" s="26"/>
      <c r="C13" s="66"/>
      <c r="D13" s="207"/>
      <c r="E13" s="66"/>
    </row>
    <row r="14" spans="1:5" x14ac:dyDescent="0.25">
      <c r="A14" s="20">
        <v>543500</v>
      </c>
      <c r="B14" s="26" t="s">
        <v>6</v>
      </c>
      <c r="C14" s="66">
        <v>0</v>
      </c>
      <c r="D14" s="207">
        <v>10700</v>
      </c>
      <c r="E14" s="66">
        <f>SUM(C14:D14)</f>
        <v>10700</v>
      </c>
    </row>
    <row r="15" spans="1:5" x14ac:dyDescent="0.25">
      <c r="A15" s="20">
        <v>542200</v>
      </c>
      <c r="B15" s="26" t="s">
        <v>25</v>
      </c>
      <c r="C15" s="66">
        <v>0</v>
      </c>
      <c r="D15" s="207">
        <v>400</v>
      </c>
      <c r="E15" s="66">
        <f>SUM(C15:D15)</f>
        <v>400</v>
      </c>
    </row>
    <row r="16" spans="1:5" x14ac:dyDescent="0.25">
      <c r="A16" s="6"/>
      <c r="B16" s="6" t="s">
        <v>9</v>
      </c>
      <c r="C16" s="65">
        <f>SUM(C14:C15)</f>
        <v>0</v>
      </c>
      <c r="D16" s="208">
        <f>SUM(D14:D15)</f>
        <v>11100</v>
      </c>
      <c r="E16" s="65">
        <f>SUM(E14:E15)</f>
        <v>11100</v>
      </c>
    </row>
    <row r="17" spans="1:5" x14ac:dyDescent="0.25">
      <c r="A17" s="20"/>
      <c r="B17" s="26"/>
      <c r="C17" s="66"/>
      <c r="D17" s="207"/>
      <c r="E17" s="66"/>
    </row>
    <row r="18" spans="1:5" x14ac:dyDescent="0.25">
      <c r="A18" s="20">
        <v>552400</v>
      </c>
      <c r="B18" s="26" t="s">
        <v>11</v>
      </c>
      <c r="C18" s="66">
        <v>0</v>
      </c>
      <c r="D18" s="207">
        <v>11100</v>
      </c>
      <c r="E18" s="66">
        <f>SUM(C18:D18)</f>
        <v>11100</v>
      </c>
    </row>
    <row r="19" spans="1:5" x14ac:dyDescent="0.25">
      <c r="A19" s="16"/>
      <c r="B19" s="6" t="s">
        <v>12</v>
      </c>
      <c r="C19" s="65">
        <f>SUM(C18:C18)</f>
        <v>0</v>
      </c>
      <c r="D19" s="65">
        <f>SUM(D18:D18)</f>
        <v>11100</v>
      </c>
      <c r="E19" s="65">
        <f>SUM(E18:E18)</f>
        <v>11100</v>
      </c>
    </row>
    <row r="20" spans="1:5" x14ac:dyDescent="0.25">
      <c r="A20" s="41"/>
      <c r="B20" s="44"/>
      <c r="C20" s="64"/>
      <c r="D20" s="207"/>
      <c r="E20" s="64"/>
    </row>
    <row r="21" spans="1:5" x14ac:dyDescent="0.25">
      <c r="A21" s="41"/>
      <c r="B21" s="44"/>
      <c r="C21" s="64"/>
      <c r="D21" s="207"/>
      <c r="E21" s="64"/>
    </row>
    <row r="22" spans="1:5" ht="15.6" x14ac:dyDescent="0.3">
      <c r="A22" s="76" t="s">
        <v>260</v>
      </c>
      <c r="B22" s="12"/>
      <c r="C22" s="70">
        <f>+C12+C16+C19</f>
        <v>0</v>
      </c>
      <c r="D22" s="70">
        <f>+D12+D16+D19</f>
        <v>25000</v>
      </c>
      <c r="E22" s="70">
        <f>+E12+E16+E19</f>
        <v>25000</v>
      </c>
    </row>
  </sheetData>
  <mergeCells count="1">
    <mergeCell ref="A4:B4"/>
  </mergeCells>
  <pageMargins left="0.7" right="0.7" top="0.75" bottom="0.75" header="0.3" footer="0.3"/>
  <pageSetup scale="78" orientation="portrait" r:id="rId1"/>
  <headerFooter>
    <oddFooter>&amp;C70</oddFooter>
  </headerFooter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0"/>
  <sheetViews>
    <sheetView workbookViewId="0">
      <selection activeCell="D15" sqref="D15"/>
    </sheetView>
  </sheetViews>
  <sheetFormatPr defaultRowHeight="13.2" x14ac:dyDescent="0.25"/>
  <cols>
    <col min="1" max="1" width="11.6640625" customWidth="1"/>
    <col min="2" max="2" width="52.6640625" customWidth="1"/>
    <col min="3" max="5" width="17.6640625" customWidth="1"/>
  </cols>
  <sheetData>
    <row r="1" spans="1:5" ht="15.6" x14ac:dyDescent="0.3">
      <c r="A1" s="5" t="s">
        <v>261</v>
      </c>
      <c r="D1" s="215"/>
    </row>
    <row r="2" spans="1:5" ht="15.6" x14ac:dyDescent="0.3">
      <c r="A2" s="5" t="s">
        <v>510</v>
      </c>
      <c r="D2" s="215"/>
    </row>
    <row r="3" spans="1:5" ht="13.8" thickBot="1" x14ac:dyDescent="0.3">
      <c r="D3" s="215"/>
    </row>
    <row r="4" spans="1:5" ht="15.6" x14ac:dyDescent="0.3">
      <c r="A4" s="413" t="s">
        <v>504</v>
      </c>
      <c r="B4" s="414"/>
      <c r="C4" s="94" t="s">
        <v>483</v>
      </c>
      <c r="D4" s="356"/>
      <c r="E4" s="362" t="s">
        <v>511</v>
      </c>
    </row>
    <row r="5" spans="1:5" ht="15.6" x14ac:dyDescent="0.3">
      <c r="A5" s="60"/>
      <c r="B5" s="61"/>
      <c r="C5" s="93" t="s">
        <v>345</v>
      </c>
      <c r="D5" s="358"/>
      <c r="E5" s="363" t="s">
        <v>342</v>
      </c>
    </row>
    <row r="6" spans="1:5" ht="16.2" thickBot="1" x14ac:dyDescent="0.35">
      <c r="A6" s="13"/>
      <c r="B6" s="14"/>
      <c r="C6" s="14" t="s">
        <v>290</v>
      </c>
      <c r="D6" s="360" t="s">
        <v>493</v>
      </c>
      <c r="E6" s="364" t="s">
        <v>290</v>
      </c>
    </row>
    <row r="7" spans="1:5" ht="13.8" x14ac:dyDescent="0.25">
      <c r="A7" s="62">
        <v>72813</v>
      </c>
      <c r="B7" s="78" t="s">
        <v>26</v>
      </c>
      <c r="C7" s="25"/>
      <c r="D7" s="216"/>
      <c r="E7" s="25"/>
    </row>
    <row r="8" spans="1:5" x14ac:dyDescent="0.25">
      <c r="A8" s="20">
        <v>510500</v>
      </c>
      <c r="B8" s="26" t="s">
        <v>240</v>
      </c>
      <c r="C8" s="66">
        <v>90500</v>
      </c>
      <c r="D8" s="207">
        <f>414+2071-2238</f>
        <v>247</v>
      </c>
      <c r="E8" s="66">
        <f>SUM(C8:D8)</f>
        <v>90747</v>
      </c>
    </row>
    <row r="9" spans="1:5" x14ac:dyDescent="0.25">
      <c r="A9" s="20">
        <v>512100</v>
      </c>
      <c r="B9" s="26" t="s">
        <v>509</v>
      </c>
      <c r="C9" s="66">
        <v>541000</v>
      </c>
      <c r="D9" s="207">
        <f>2474+12380-13378</f>
        <v>1476</v>
      </c>
      <c r="E9" s="66">
        <f>SUM(C9:D9)</f>
        <v>542476</v>
      </c>
    </row>
    <row r="10" spans="1:5" x14ac:dyDescent="0.25">
      <c r="A10" s="6"/>
      <c r="B10" s="6" t="s">
        <v>102</v>
      </c>
      <c r="C10" s="65">
        <f>SUM(C8:C9)</f>
        <v>631500</v>
      </c>
      <c r="D10" s="223">
        <f>SUM(D8:D9)</f>
        <v>1723</v>
      </c>
      <c r="E10" s="65">
        <f>SUM(E8:E9)</f>
        <v>633223</v>
      </c>
    </row>
    <row r="11" spans="1:5" x14ac:dyDescent="0.25">
      <c r="A11" s="20"/>
      <c r="B11" s="26"/>
      <c r="C11" s="66"/>
      <c r="D11" s="207"/>
      <c r="E11" s="66"/>
    </row>
    <row r="12" spans="1:5" x14ac:dyDescent="0.25">
      <c r="A12" s="20">
        <v>520100</v>
      </c>
      <c r="B12" s="26" t="s">
        <v>15</v>
      </c>
      <c r="C12" s="66">
        <v>46500</v>
      </c>
      <c r="D12" s="207">
        <f>213+1064-1058</f>
        <v>219</v>
      </c>
      <c r="E12" s="66">
        <f t="shared" ref="E12:E17" si="0">SUM(C12:D12)</f>
        <v>46719</v>
      </c>
    </row>
    <row r="13" spans="1:5" x14ac:dyDescent="0.25">
      <c r="A13" s="20">
        <v>521100</v>
      </c>
      <c r="B13" s="26" t="s">
        <v>20</v>
      </c>
      <c r="C13" s="66">
        <v>4500</v>
      </c>
      <c r="D13" s="207">
        <f>21+103-102</f>
        <v>22</v>
      </c>
      <c r="E13" s="66">
        <f t="shared" si="0"/>
        <v>4522</v>
      </c>
    </row>
    <row r="14" spans="1:5" x14ac:dyDescent="0.25">
      <c r="A14" s="20">
        <v>520400</v>
      </c>
      <c r="B14" s="26" t="s">
        <v>16</v>
      </c>
      <c r="C14" s="66">
        <v>50500</v>
      </c>
      <c r="D14" s="207">
        <f>231+2004-1149</f>
        <v>1086</v>
      </c>
      <c r="E14" s="66">
        <f t="shared" si="0"/>
        <v>51586</v>
      </c>
    </row>
    <row r="15" spans="1:5" x14ac:dyDescent="0.25">
      <c r="A15" s="20">
        <v>520700</v>
      </c>
      <c r="B15" s="26" t="s">
        <v>18</v>
      </c>
      <c r="C15" s="66">
        <v>66500</v>
      </c>
      <c r="D15" s="207"/>
      <c r="E15" s="66">
        <f t="shared" si="0"/>
        <v>66500</v>
      </c>
    </row>
    <row r="16" spans="1:5" x14ac:dyDescent="0.25">
      <c r="A16" s="20">
        <v>520600</v>
      </c>
      <c r="B16" s="26" t="s">
        <v>17</v>
      </c>
      <c r="C16" s="66">
        <v>500</v>
      </c>
      <c r="D16" s="207"/>
      <c r="E16" s="66">
        <f t="shared" si="0"/>
        <v>500</v>
      </c>
    </row>
    <row r="17" spans="1:5" x14ac:dyDescent="0.25">
      <c r="A17" s="20">
        <v>520800</v>
      </c>
      <c r="B17" s="26" t="s">
        <v>19</v>
      </c>
      <c r="C17" s="66">
        <v>500</v>
      </c>
      <c r="D17" s="207"/>
      <c r="E17" s="66">
        <f t="shared" si="0"/>
        <v>500</v>
      </c>
    </row>
    <row r="18" spans="1:5" x14ac:dyDescent="0.25">
      <c r="A18" s="6"/>
      <c r="B18" s="6" t="s">
        <v>111</v>
      </c>
      <c r="C18" s="65">
        <f>SUM(C12:C17)</f>
        <v>169000</v>
      </c>
      <c r="D18" s="208">
        <f>SUM(D12:D17)</f>
        <v>1327</v>
      </c>
      <c r="E18" s="65">
        <f>SUM(E12:E17)</f>
        <v>170327</v>
      </c>
    </row>
    <row r="19" spans="1:5" x14ac:dyDescent="0.25">
      <c r="A19" s="6"/>
      <c r="B19" s="6"/>
      <c r="C19" s="65"/>
      <c r="D19" s="208"/>
      <c r="E19" s="65"/>
    </row>
    <row r="20" spans="1:5" x14ac:dyDescent="0.25">
      <c r="A20" s="20">
        <v>530700</v>
      </c>
      <c r="B20" s="26" t="s">
        <v>1</v>
      </c>
      <c r="C20" s="65">
        <v>5000</v>
      </c>
      <c r="D20" s="207"/>
      <c r="E20" s="66">
        <f>SUM(C20:D20)</f>
        <v>5000</v>
      </c>
    </row>
    <row r="21" spans="1:5" x14ac:dyDescent="0.25">
      <c r="A21" s="204">
        <v>535500</v>
      </c>
      <c r="B21" s="26" t="s">
        <v>2</v>
      </c>
      <c r="C21" s="65">
        <v>6000</v>
      </c>
      <c r="D21" s="207"/>
      <c r="E21" s="66">
        <f>SUM(C21:D21)</f>
        <v>6000</v>
      </c>
    </row>
    <row r="22" spans="1:5" x14ac:dyDescent="0.25">
      <c r="A22" s="20">
        <v>532000</v>
      </c>
      <c r="B22" s="26" t="s">
        <v>94</v>
      </c>
      <c r="C22" s="65">
        <v>7450</v>
      </c>
      <c r="D22" s="207"/>
      <c r="E22" s="66">
        <f>SUM(C22:D22)</f>
        <v>7450</v>
      </c>
    </row>
    <row r="23" spans="1:5" x14ac:dyDescent="0.25">
      <c r="A23" s="6"/>
      <c r="B23" s="6" t="s">
        <v>4</v>
      </c>
      <c r="C23" s="65">
        <f>SUM(C20:C22)</f>
        <v>18450</v>
      </c>
      <c r="D23" s="65">
        <f>SUM(D20:D22)</f>
        <v>0</v>
      </c>
      <c r="E23" s="65">
        <f>SUM(E20:E22)</f>
        <v>18450</v>
      </c>
    </row>
    <row r="24" spans="1:5" x14ac:dyDescent="0.25">
      <c r="A24" s="6"/>
      <c r="B24" s="6"/>
      <c r="C24" s="65"/>
      <c r="D24" s="208"/>
      <c r="E24" s="65"/>
    </row>
    <row r="25" spans="1:5" x14ac:dyDescent="0.25">
      <c r="A25" s="20">
        <v>543500</v>
      </c>
      <c r="B25" s="26" t="s">
        <v>6</v>
      </c>
      <c r="C25" s="65">
        <v>25000</v>
      </c>
      <c r="D25" s="207"/>
      <c r="E25" s="66">
        <f>SUM(C25:D25)</f>
        <v>25000</v>
      </c>
    </row>
    <row r="26" spans="1:5" x14ac:dyDescent="0.25">
      <c r="A26" s="6"/>
      <c r="B26" s="6" t="s">
        <v>9</v>
      </c>
      <c r="C26" s="65">
        <f>+C25</f>
        <v>25000</v>
      </c>
      <c r="D26" s="65">
        <f>+D25</f>
        <v>0</v>
      </c>
      <c r="E26" s="65">
        <f>+E25</f>
        <v>25000</v>
      </c>
    </row>
    <row r="27" spans="1:5" x14ac:dyDescent="0.25">
      <c r="A27" s="6"/>
      <c r="B27" s="6"/>
      <c r="C27" s="65"/>
      <c r="D27" s="208"/>
      <c r="E27" s="65"/>
    </row>
    <row r="28" spans="1:5" x14ac:dyDescent="0.25">
      <c r="A28" s="41"/>
      <c r="B28" s="44"/>
      <c r="C28" s="64"/>
      <c r="D28" s="207"/>
      <c r="E28" s="64"/>
    </row>
    <row r="29" spans="1:5" ht="15.6" x14ac:dyDescent="0.3">
      <c r="A29" s="76" t="s">
        <v>505</v>
      </c>
      <c r="B29" s="12"/>
      <c r="C29" s="70">
        <f>+C26+C23+C18+C10</f>
        <v>843950</v>
      </c>
      <c r="D29" s="70">
        <f>+D26+D23+D18+D10</f>
        <v>3050</v>
      </c>
      <c r="E29" s="70">
        <f>+E26+E23+E18+E10</f>
        <v>847000</v>
      </c>
    </row>
    <row r="30" spans="1:5" x14ac:dyDescent="0.25">
      <c r="D30" s="215"/>
    </row>
  </sheetData>
  <mergeCells count="1">
    <mergeCell ref="A4:B4"/>
  </mergeCells>
  <pageMargins left="0.7" right="0.7" top="0.75" bottom="0.75" header="0.3" footer="0.3"/>
  <pageSetup scale="78" firstPageNumber="70" orientation="portrait" useFirstPageNumber="1" r:id="rId1"/>
  <headerFooter>
    <oddFooter>&amp;C71</oddFooter>
  </headerFooter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E17"/>
  <sheetViews>
    <sheetView workbookViewId="0">
      <selection activeCell="A3" sqref="A3"/>
    </sheetView>
  </sheetViews>
  <sheetFormatPr defaultRowHeight="13.2" x14ac:dyDescent="0.25"/>
  <cols>
    <col min="1" max="1" width="11.6640625" customWidth="1"/>
    <col min="2" max="2" width="52.6640625" customWidth="1"/>
    <col min="3" max="3" width="17.6640625" customWidth="1"/>
    <col min="4" max="4" width="17.6640625" style="215" customWidth="1"/>
    <col min="5" max="6" width="17.6640625" customWidth="1"/>
  </cols>
  <sheetData>
    <row r="1" spans="1:5" ht="15.6" x14ac:dyDescent="0.3">
      <c r="A1" s="5" t="s">
        <v>261</v>
      </c>
    </row>
    <row r="2" spans="1:5" ht="15.6" x14ac:dyDescent="0.3">
      <c r="A2" s="5" t="s">
        <v>510</v>
      </c>
    </row>
    <row r="3" spans="1:5" ht="13.8" thickBot="1" x14ac:dyDescent="0.3"/>
    <row r="4" spans="1:5" ht="15.6" x14ac:dyDescent="0.3">
      <c r="A4" s="413" t="s">
        <v>47</v>
      </c>
      <c r="B4" s="414"/>
      <c r="C4" s="94" t="s">
        <v>483</v>
      </c>
      <c r="D4" s="356"/>
      <c r="E4" s="362" t="s">
        <v>511</v>
      </c>
    </row>
    <row r="5" spans="1:5" ht="15.6" x14ac:dyDescent="0.3">
      <c r="A5" s="60"/>
      <c r="B5" s="61"/>
      <c r="C5" s="93" t="s">
        <v>345</v>
      </c>
      <c r="D5" s="358"/>
      <c r="E5" s="363" t="s">
        <v>342</v>
      </c>
    </row>
    <row r="6" spans="1:5" ht="16.2" thickBot="1" x14ac:dyDescent="0.35">
      <c r="A6" s="13"/>
      <c r="B6" s="14"/>
      <c r="C6" s="14" t="s">
        <v>290</v>
      </c>
      <c r="D6" s="360" t="s">
        <v>493</v>
      </c>
      <c r="E6" s="364" t="s">
        <v>290</v>
      </c>
    </row>
    <row r="7" spans="1:5" s="3" customFormat="1" ht="13.8" x14ac:dyDescent="0.25">
      <c r="A7" s="62">
        <v>72820</v>
      </c>
      <c r="B7" s="78" t="s">
        <v>26</v>
      </c>
      <c r="C7" s="25"/>
      <c r="D7" s="218"/>
      <c r="E7" s="22"/>
    </row>
    <row r="8" spans="1:5" x14ac:dyDescent="0.25">
      <c r="A8" s="20">
        <v>533600</v>
      </c>
      <c r="B8" s="8" t="s">
        <v>48</v>
      </c>
      <c r="C8" s="64">
        <v>2000</v>
      </c>
      <c r="D8" s="207"/>
      <c r="E8" s="64">
        <f>SUM(C8:D8)</f>
        <v>2000</v>
      </c>
    </row>
    <row r="9" spans="1:5" x14ac:dyDescent="0.25">
      <c r="A9" s="57">
        <v>534800</v>
      </c>
      <c r="B9" s="9" t="s">
        <v>335</v>
      </c>
      <c r="C9" s="64">
        <v>6000</v>
      </c>
      <c r="D9" s="207"/>
      <c r="E9" s="64">
        <f>SUM(C9:D9)</f>
        <v>6000</v>
      </c>
    </row>
    <row r="10" spans="1:5" s="1" customFormat="1" x14ac:dyDescent="0.25">
      <c r="A10" s="6"/>
      <c r="B10" s="6" t="s">
        <v>4</v>
      </c>
      <c r="C10" s="65">
        <f>SUM(C8:C9)</f>
        <v>8000</v>
      </c>
      <c r="D10" s="208">
        <f>SUM(D8:D9)</f>
        <v>0</v>
      </c>
      <c r="E10" s="65">
        <f>SUM(E8:E9)</f>
        <v>8000</v>
      </c>
    </row>
    <row r="11" spans="1:5" x14ac:dyDescent="0.25">
      <c r="A11" s="57"/>
      <c r="B11" s="9"/>
      <c r="C11" s="64"/>
      <c r="D11" s="207"/>
      <c r="E11" s="64"/>
    </row>
    <row r="12" spans="1:5" x14ac:dyDescent="0.25">
      <c r="A12" s="57">
        <v>543500</v>
      </c>
      <c r="B12" s="9" t="s">
        <v>6</v>
      </c>
      <c r="C12" s="64">
        <v>80000</v>
      </c>
      <c r="D12" s="207"/>
      <c r="E12" s="64">
        <f>SUM(C12:D12)</f>
        <v>80000</v>
      </c>
    </row>
    <row r="13" spans="1:5" s="1" customFormat="1" x14ac:dyDescent="0.25">
      <c r="A13" s="6"/>
      <c r="B13" s="6" t="s">
        <v>9</v>
      </c>
      <c r="C13" s="65">
        <f>SUM(C12)</f>
        <v>80000</v>
      </c>
      <c r="D13" s="208">
        <f>SUM(D12)</f>
        <v>0</v>
      </c>
      <c r="E13" s="65">
        <f>SUM(E12)</f>
        <v>80000</v>
      </c>
    </row>
    <row r="14" spans="1:5" x14ac:dyDescent="0.25">
      <c r="A14" s="9"/>
      <c r="B14" s="9"/>
      <c r="C14" s="64"/>
      <c r="D14" s="207"/>
      <c r="E14" s="64"/>
    </row>
    <row r="15" spans="1:5" x14ac:dyDescent="0.25">
      <c r="A15" s="9"/>
      <c r="B15" s="9"/>
      <c r="C15" s="64"/>
      <c r="D15" s="207"/>
      <c r="E15" s="64"/>
    </row>
    <row r="16" spans="1:5" s="5" customFormat="1" ht="15.6" x14ac:dyDescent="0.3">
      <c r="A16" s="12" t="s">
        <v>49</v>
      </c>
      <c r="B16" s="12"/>
      <c r="C16" s="70">
        <f>SUM(C10+C13)</f>
        <v>88000</v>
      </c>
      <c r="D16" s="209">
        <f>SUM(D10+D13)</f>
        <v>0</v>
      </c>
      <c r="E16" s="70">
        <f>SUM(E10+E13)</f>
        <v>88000</v>
      </c>
    </row>
    <row r="17" spans="1:1" x14ac:dyDescent="0.25">
      <c r="A17" s="92"/>
    </row>
  </sheetData>
  <mergeCells count="1">
    <mergeCell ref="A4:B4"/>
  </mergeCells>
  <phoneticPr fontId="0" type="noConversion"/>
  <printOptions horizontalCentered="1"/>
  <pageMargins left="0.75" right="0.75" top="1" bottom="1" header="0.5" footer="0.5"/>
  <pageSetup scale="77" firstPageNumber="71" orientation="portrait" useFirstPageNumber="1" r:id="rId1"/>
  <headerFooter alignWithMargins="0">
    <oddFooter>&amp;C&amp;"Arial,Bold"72</oddFooter>
  </headerFooter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E33"/>
  <sheetViews>
    <sheetView workbookViewId="0">
      <selection activeCell="D16" sqref="D16"/>
    </sheetView>
  </sheetViews>
  <sheetFormatPr defaultRowHeight="13.2" x14ac:dyDescent="0.25"/>
  <cols>
    <col min="1" max="1" width="11.6640625" customWidth="1"/>
    <col min="2" max="2" width="52.6640625" customWidth="1"/>
    <col min="3" max="3" width="17.6640625" customWidth="1"/>
    <col min="4" max="4" width="17.6640625" style="215" customWidth="1"/>
    <col min="5" max="6" width="17.6640625" customWidth="1"/>
  </cols>
  <sheetData>
    <row r="1" spans="1:5" ht="15.6" x14ac:dyDescent="0.3">
      <c r="A1" s="5" t="s">
        <v>261</v>
      </c>
    </row>
    <row r="2" spans="1:5" ht="15.6" x14ac:dyDescent="0.3">
      <c r="A2" s="5" t="s">
        <v>510</v>
      </c>
    </row>
    <row r="3" spans="1:5" ht="13.8" thickBot="1" x14ac:dyDescent="0.3"/>
    <row r="4" spans="1:5" ht="15.6" x14ac:dyDescent="0.3">
      <c r="A4" s="413" t="s">
        <v>488</v>
      </c>
      <c r="B4" s="414"/>
      <c r="C4" s="94" t="s">
        <v>483</v>
      </c>
      <c r="D4" s="356"/>
      <c r="E4" s="362" t="s">
        <v>511</v>
      </c>
    </row>
    <row r="5" spans="1:5" ht="15.6" x14ac:dyDescent="0.3">
      <c r="A5" s="60"/>
      <c r="B5" s="61"/>
      <c r="C5" s="93" t="s">
        <v>345</v>
      </c>
      <c r="D5" s="358"/>
      <c r="E5" s="363" t="s">
        <v>342</v>
      </c>
    </row>
    <row r="6" spans="1:5" ht="16.2" thickBot="1" x14ac:dyDescent="0.35">
      <c r="A6" s="13"/>
      <c r="B6" s="14"/>
      <c r="C6" s="14" t="s">
        <v>290</v>
      </c>
      <c r="D6" s="360" t="s">
        <v>493</v>
      </c>
      <c r="E6" s="364" t="s">
        <v>290</v>
      </c>
    </row>
    <row r="7" spans="1:5" s="3" customFormat="1" ht="13.8" x14ac:dyDescent="0.25">
      <c r="A7" s="62">
        <v>72823</v>
      </c>
      <c r="B7" s="78" t="s">
        <v>26</v>
      </c>
      <c r="C7" s="22"/>
      <c r="D7" s="218"/>
      <c r="E7" s="22"/>
    </row>
    <row r="8" spans="1:5" x14ac:dyDescent="0.25">
      <c r="A8" s="20">
        <v>516100</v>
      </c>
      <c r="B8" s="9" t="s">
        <v>56</v>
      </c>
      <c r="C8" s="64">
        <v>40488</v>
      </c>
      <c r="D8" s="207">
        <f>-307+417</f>
        <v>110</v>
      </c>
      <c r="E8" s="64">
        <f>SUM(C8:D8)</f>
        <v>40598</v>
      </c>
    </row>
    <row r="9" spans="1:5" x14ac:dyDescent="0.25">
      <c r="A9" s="57">
        <v>513300</v>
      </c>
      <c r="B9" s="9" t="s">
        <v>39</v>
      </c>
      <c r="C9" s="64">
        <v>290757</v>
      </c>
      <c r="D9" s="207">
        <f>-2201+2995</f>
        <v>794</v>
      </c>
      <c r="E9" s="64">
        <f>SUM(C9:D9)</f>
        <v>291551</v>
      </c>
    </row>
    <row r="10" spans="1:5" x14ac:dyDescent="0.25">
      <c r="A10" s="57">
        <v>518975</v>
      </c>
      <c r="B10" s="9" t="s">
        <v>40</v>
      </c>
      <c r="C10" s="64">
        <v>278307</v>
      </c>
      <c r="D10" s="207">
        <f>-2107+2866</f>
        <v>759</v>
      </c>
      <c r="E10" s="64">
        <f>SUM(C10:D10)</f>
        <v>279066</v>
      </c>
    </row>
    <row r="11" spans="1:5" s="1" customFormat="1" x14ac:dyDescent="0.25">
      <c r="A11" s="6"/>
      <c r="B11" s="6" t="s">
        <v>102</v>
      </c>
      <c r="C11" s="65">
        <f>SUM(C8:C10)</f>
        <v>609552</v>
      </c>
      <c r="D11" s="208">
        <f>SUM(D8:D10)</f>
        <v>1663</v>
      </c>
      <c r="E11" s="65">
        <f>SUM(E8:E10)</f>
        <v>611215</v>
      </c>
    </row>
    <row r="12" spans="1:5" x14ac:dyDescent="0.25">
      <c r="A12" s="57"/>
      <c r="B12" s="9"/>
      <c r="C12" s="64"/>
      <c r="D12" s="207"/>
      <c r="E12" s="64"/>
    </row>
    <row r="13" spans="1:5" x14ac:dyDescent="0.25">
      <c r="A13" s="57">
        <v>520100</v>
      </c>
      <c r="B13" s="9" t="s">
        <v>15</v>
      </c>
      <c r="C13" s="64">
        <v>44980</v>
      </c>
      <c r="D13" s="207">
        <f>463-252</f>
        <v>211</v>
      </c>
      <c r="E13" s="64">
        <f t="shared" ref="E13:E19" si="0">SUM(C13:D13)</f>
        <v>45191</v>
      </c>
    </row>
    <row r="14" spans="1:5" x14ac:dyDescent="0.25">
      <c r="A14" s="57">
        <v>521100</v>
      </c>
      <c r="B14" s="9" t="s">
        <v>20</v>
      </c>
      <c r="C14" s="64">
        <v>32775</v>
      </c>
      <c r="D14" s="207">
        <f>-183+338</f>
        <v>155</v>
      </c>
      <c r="E14" s="64">
        <f t="shared" si="0"/>
        <v>32930</v>
      </c>
    </row>
    <row r="15" spans="1:5" x14ac:dyDescent="0.25">
      <c r="A15" s="57">
        <v>520400</v>
      </c>
      <c r="B15" s="9" t="s">
        <v>16</v>
      </c>
      <c r="C15" s="64">
        <v>5995</v>
      </c>
      <c r="D15" s="207">
        <f>27+238-136</f>
        <v>129</v>
      </c>
      <c r="E15" s="64">
        <f t="shared" si="0"/>
        <v>6124</v>
      </c>
    </row>
    <row r="16" spans="1:5" x14ac:dyDescent="0.25">
      <c r="A16" s="57">
        <v>520700</v>
      </c>
      <c r="B16" s="9" t="s">
        <v>18</v>
      </c>
      <c r="C16" s="64">
        <v>38268</v>
      </c>
      <c r="D16" s="207"/>
      <c r="E16" s="64">
        <f t="shared" si="0"/>
        <v>38268</v>
      </c>
    </row>
    <row r="17" spans="1:5" x14ac:dyDescent="0.25">
      <c r="A17" s="57">
        <v>520600</v>
      </c>
      <c r="B17" s="9" t="s">
        <v>17</v>
      </c>
      <c r="C17" s="64">
        <v>930</v>
      </c>
      <c r="D17" s="207"/>
      <c r="E17" s="64">
        <f t="shared" si="0"/>
        <v>930</v>
      </c>
    </row>
    <row r="18" spans="1:5" x14ac:dyDescent="0.25">
      <c r="A18" s="57">
        <v>520800</v>
      </c>
      <c r="B18" s="9" t="s">
        <v>19</v>
      </c>
      <c r="C18" s="64">
        <v>350</v>
      </c>
      <c r="D18" s="207"/>
      <c r="E18" s="64">
        <f t="shared" si="0"/>
        <v>350</v>
      </c>
    </row>
    <row r="19" spans="1:5" x14ac:dyDescent="0.25">
      <c r="A19" s="57">
        <v>529700</v>
      </c>
      <c r="B19" s="9" t="s">
        <v>196</v>
      </c>
      <c r="C19" s="64">
        <v>3655</v>
      </c>
      <c r="D19" s="207"/>
      <c r="E19" s="64">
        <f t="shared" si="0"/>
        <v>3655</v>
      </c>
    </row>
    <row r="20" spans="1:5" s="1" customFormat="1" x14ac:dyDescent="0.25">
      <c r="A20" s="6"/>
      <c r="B20" s="6" t="s">
        <v>111</v>
      </c>
      <c r="C20" s="65">
        <f>SUM(C13:C19)</f>
        <v>126953</v>
      </c>
      <c r="D20" s="208">
        <f>SUM(D13:D19)</f>
        <v>495</v>
      </c>
      <c r="E20" s="65">
        <f>SUM(E13:E19)</f>
        <v>127448</v>
      </c>
    </row>
    <row r="21" spans="1:5" x14ac:dyDescent="0.25">
      <c r="A21" s="57"/>
      <c r="B21" s="9"/>
      <c r="C21" s="64"/>
      <c r="D21" s="207"/>
      <c r="E21" s="64"/>
    </row>
    <row r="22" spans="1:5" x14ac:dyDescent="0.25">
      <c r="A22" s="57">
        <v>533600</v>
      </c>
      <c r="B22" s="26" t="s">
        <v>307</v>
      </c>
      <c r="C22" s="64">
        <v>2000</v>
      </c>
      <c r="D22" s="207"/>
      <c r="E22" s="64">
        <f>SUM(C22:D22)</f>
        <v>2000</v>
      </c>
    </row>
    <row r="23" spans="1:5" x14ac:dyDescent="0.25">
      <c r="A23" s="57">
        <v>530700</v>
      </c>
      <c r="B23" s="26" t="s">
        <v>103</v>
      </c>
      <c r="C23" s="64">
        <v>129750</v>
      </c>
      <c r="D23" s="207"/>
      <c r="E23" s="64">
        <f>SUM(C23:D23)</f>
        <v>129750</v>
      </c>
    </row>
    <row r="24" spans="1:5" x14ac:dyDescent="0.25">
      <c r="A24" s="57">
        <v>535500</v>
      </c>
      <c r="B24" s="9" t="s">
        <v>2</v>
      </c>
      <c r="C24" s="64">
        <v>500</v>
      </c>
      <c r="D24" s="207"/>
      <c r="E24" s="64">
        <f>SUM(C24:D24)</f>
        <v>500</v>
      </c>
    </row>
    <row r="25" spans="1:5" x14ac:dyDescent="0.25">
      <c r="A25" s="57">
        <v>532000</v>
      </c>
      <c r="B25" s="26" t="s">
        <v>94</v>
      </c>
      <c r="C25" s="64">
        <v>650</v>
      </c>
      <c r="D25" s="207"/>
      <c r="E25" s="64">
        <f>SUM(C25:D25)</f>
        <v>650</v>
      </c>
    </row>
    <row r="26" spans="1:5" s="1" customFormat="1" x14ac:dyDescent="0.25">
      <c r="A26" s="6"/>
      <c r="B26" s="6" t="s">
        <v>4</v>
      </c>
      <c r="C26" s="65">
        <f>SUM(C22:C25)</f>
        <v>132900</v>
      </c>
      <c r="D26" s="208">
        <f>SUM(D22:D25)</f>
        <v>0</v>
      </c>
      <c r="E26" s="65">
        <f>SUM(E22:E25)</f>
        <v>132900</v>
      </c>
    </row>
    <row r="27" spans="1:5" x14ac:dyDescent="0.25">
      <c r="A27" s="57"/>
      <c r="B27" s="9"/>
      <c r="C27" s="64"/>
      <c r="D27" s="207"/>
      <c r="E27" s="64"/>
    </row>
    <row r="28" spans="1:5" x14ac:dyDescent="0.25">
      <c r="A28" s="57">
        <v>543500</v>
      </c>
      <c r="B28" s="9" t="s">
        <v>6</v>
      </c>
      <c r="C28" s="64">
        <v>1000</v>
      </c>
      <c r="D28" s="207"/>
      <c r="E28" s="64">
        <f>SUM(C28:D28)</f>
        <v>1000</v>
      </c>
    </row>
    <row r="29" spans="1:5" s="1" customFormat="1" x14ac:dyDescent="0.25">
      <c r="A29" s="6"/>
      <c r="B29" s="6" t="s">
        <v>9</v>
      </c>
      <c r="C29" s="65">
        <f>SUM(C28:C28)</f>
        <v>1000</v>
      </c>
      <c r="D29" s="208">
        <f>SUM(D28:D28)</f>
        <v>0</v>
      </c>
      <c r="E29" s="65">
        <f>SUM(E28:E28)</f>
        <v>1000</v>
      </c>
    </row>
    <row r="30" spans="1:5" x14ac:dyDescent="0.25">
      <c r="A30" s="57"/>
      <c r="B30" s="9"/>
      <c r="C30" s="64"/>
      <c r="D30" s="207"/>
      <c r="E30" s="64"/>
    </row>
    <row r="31" spans="1:5" x14ac:dyDescent="0.25">
      <c r="A31" s="9"/>
      <c r="B31" s="9"/>
      <c r="C31" s="64"/>
      <c r="D31" s="207"/>
      <c r="E31" s="64"/>
    </row>
    <row r="32" spans="1:5" s="5" customFormat="1" ht="15.6" x14ac:dyDescent="0.3">
      <c r="A32" s="12" t="s">
        <v>46</v>
      </c>
      <c r="B32" s="12"/>
      <c r="C32" s="70">
        <f>SUM(C29,C26,C20,C11)</f>
        <v>870405</v>
      </c>
      <c r="D32" s="209">
        <f>SUM(D29,D26,D20,D11)</f>
        <v>2158</v>
      </c>
      <c r="E32" s="70">
        <f>SUM(E29,E26,E20,E11)</f>
        <v>872563</v>
      </c>
    </row>
    <row r="33" spans="1:1" x14ac:dyDescent="0.25">
      <c r="A33" s="92"/>
    </row>
  </sheetData>
  <mergeCells count="1">
    <mergeCell ref="A4:B4"/>
  </mergeCells>
  <phoneticPr fontId="0" type="noConversion"/>
  <printOptions horizontalCentered="1"/>
  <pageMargins left="0.75" right="0.75" top="1" bottom="1" header="0.5" footer="0.5"/>
  <pageSetup scale="77" firstPageNumber="72" orientation="portrait" useFirstPageNumber="1" r:id="rId1"/>
  <headerFooter alignWithMargins="0">
    <oddFooter>&amp;C&amp;"Arial,Bold"73</oddFooter>
  </headerFooter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7"/>
  <sheetViews>
    <sheetView workbookViewId="0">
      <selection activeCell="D16" sqref="D16"/>
    </sheetView>
  </sheetViews>
  <sheetFormatPr defaultRowHeight="13.2" x14ac:dyDescent="0.25"/>
  <cols>
    <col min="1" max="1" width="11.88671875" customWidth="1"/>
    <col min="2" max="2" width="52.6640625" customWidth="1"/>
    <col min="3" max="3" width="17.6640625" customWidth="1"/>
    <col min="4" max="4" width="17.6640625" style="215" customWidth="1"/>
    <col min="5" max="5" width="17.6640625" customWidth="1"/>
  </cols>
  <sheetData>
    <row r="1" spans="1:5" ht="15.6" x14ac:dyDescent="0.3">
      <c r="A1" s="5" t="s">
        <v>261</v>
      </c>
    </row>
    <row r="2" spans="1:5" ht="15.6" x14ac:dyDescent="0.3">
      <c r="A2" s="5" t="s">
        <v>510</v>
      </c>
    </row>
    <row r="3" spans="1:5" ht="13.8" thickBot="1" x14ac:dyDescent="0.3"/>
    <row r="4" spans="1:5" ht="15.6" x14ac:dyDescent="0.3">
      <c r="A4" s="413" t="s">
        <v>311</v>
      </c>
      <c r="B4" s="414"/>
      <c r="C4" s="94" t="s">
        <v>483</v>
      </c>
      <c r="D4" s="356"/>
      <c r="E4" s="362" t="s">
        <v>511</v>
      </c>
    </row>
    <row r="5" spans="1:5" ht="15.6" x14ac:dyDescent="0.3">
      <c r="A5" s="60"/>
      <c r="B5" s="61"/>
      <c r="C5" s="93" t="s">
        <v>345</v>
      </c>
      <c r="D5" s="358"/>
      <c r="E5" s="363" t="s">
        <v>342</v>
      </c>
    </row>
    <row r="6" spans="1:5" ht="16.2" thickBot="1" x14ac:dyDescent="0.35">
      <c r="A6" s="13"/>
      <c r="B6" s="14"/>
      <c r="C6" s="14" t="s">
        <v>290</v>
      </c>
      <c r="D6" s="360" t="s">
        <v>493</v>
      </c>
      <c r="E6" s="364" t="s">
        <v>290</v>
      </c>
    </row>
    <row r="7" spans="1:5" ht="13.8" x14ac:dyDescent="0.25">
      <c r="A7" s="62">
        <v>72825</v>
      </c>
      <c r="B7" s="78" t="s">
        <v>26</v>
      </c>
      <c r="C7" s="22"/>
      <c r="D7" s="218"/>
      <c r="E7" s="22"/>
    </row>
    <row r="8" spans="1:5" x14ac:dyDescent="0.25">
      <c r="A8" s="20">
        <v>510500</v>
      </c>
      <c r="B8" s="26" t="s">
        <v>240</v>
      </c>
      <c r="C8" s="64">
        <v>345794</v>
      </c>
      <c r="D8" s="207">
        <f>-683+1626</f>
        <v>943</v>
      </c>
      <c r="E8" s="64">
        <f>SUM(C8:D8)</f>
        <v>346737</v>
      </c>
    </row>
    <row r="9" spans="1:5" x14ac:dyDescent="0.25">
      <c r="A9" s="20">
        <v>516100</v>
      </c>
      <c r="B9" s="26" t="s">
        <v>56</v>
      </c>
      <c r="C9" s="64">
        <v>31783</v>
      </c>
      <c r="D9" s="207">
        <f>-241+327</f>
        <v>86</v>
      </c>
      <c r="E9" s="64">
        <f>SUM(C9:D9)</f>
        <v>31869</v>
      </c>
    </row>
    <row r="10" spans="1:5" x14ac:dyDescent="0.25">
      <c r="A10" s="20">
        <v>519500</v>
      </c>
      <c r="B10" s="26" t="s">
        <v>33</v>
      </c>
      <c r="C10" s="64">
        <v>12052</v>
      </c>
      <c r="D10" s="207"/>
      <c r="E10" s="64">
        <f>SUM(C10:D10)</f>
        <v>12052</v>
      </c>
    </row>
    <row r="11" spans="1:5" x14ac:dyDescent="0.25">
      <c r="A11" s="6"/>
      <c r="B11" s="6" t="s">
        <v>102</v>
      </c>
      <c r="C11" s="65">
        <f>SUM(C8:C10)</f>
        <v>389629</v>
      </c>
      <c r="D11" s="208">
        <f>SUM(D8:D10)</f>
        <v>1029</v>
      </c>
      <c r="E11" s="65">
        <f>SUM(E8:E10)</f>
        <v>390658</v>
      </c>
    </row>
    <row r="12" spans="1:5" x14ac:dyDescent="0.25">
      <c r="A12" s="57"/>
      <c r="B12" s="9"/>
      <c r="C12" s="64"/>
      <c r="D12" s="207"/>
      <c r="E12" s="64"/>
    </row>
    <row r="13" spans="1:5" x14ac:dyDescent="0.25">
      <c r="A13" s="57">
        <v>520100</v>
      </c>
      <c r="B13" s="9" t="s">
        <v>15</v>
      </c>
      <c r="C13" s="64">
        <v>31639</v>
      </c>
      <c r="D13" s="207">
        <f>-720+724</f>
        <v>4</v>
      </c>
      <c r="E13" s="64">
        <f t="shared" ref="E13:E19" si="0">SUM(C13:D13)</f>
        <v>31643</v>
      </c>
    </row>
    <row r="14" spans="1:5" x14ac:dyDescent="0.25">
      <c r="A14" s="57">
        <v>521100</v>
      </c>
      <c r="B14" s="9" t="s">
        <v>20</v>
      </c>
      <c r="C14" s="64">
        <v>7016</v>
      </c>
      <c r="D14" s="207">
        <f>-39+72</f>
        <v>33</v>
      </c>
      <c r="E14" s="64">
        <f t="shared" si="0"/>
        <v>7049</v>
      </c>
    </row>
    <row r="15" spans="1:5" x14ac:dyDescent="0.25">
      <c r="A15" s="57">
        <v>520400</v>
      </c>
      <c r="B15" s="9" t="s">
        <v>16</v>
      </c>
      <c r="C15" s="64">
        <v>28909</v>
      </c>
      <c r="D15" s="207">
        <f>-658+1147</f>
        <v>489</v>
      </c>
      <c r="E15" s="64">
        <f t="shared" si="0"/>
        <v>29398</v>
      </c>
    </row>
    <row r="16" spans="1:5" x14ac:dyDescent="0.25">
      <c r="A16" s="57">
        <v>520700</v>
      </c>
      <c r="B16" s="9" t="s">
        <v>18</v>
      </c>
      <c r="C16" s="64">
        <v>23665</v>
      </c>
      <c r="D16" s="207"/>
      <c r="E16" s="64">
        <f t="shared" si="0"/>
        <v>23665</v>
      </c>
    </row>
    <row r="17" spans="1:5" x14ac:dyDescent="0.25">
      <c r="A17" s="57">
        <v>520600</v>
      </c>
      <c r="B17" s="9" t="s">
        <v>17</v>
      </c>
      <c r="C17" s="64">
        <v>329</v>
      </c>
      <c r="D17" s="207"/>
      <c r="E17" s="64">
        <f t="shared" si="0"/>
        <v>329</v>
      </c>
    </row>
    <row r="18" spans="1:5" x14ac:dyDescent="0.25">
      <c r="A18" s="57">
        <v>520800</v>
      </c>
      <c r="B18" s="9" t="s">
        <v>19</v>
      </c>
      <c r="C18" s="64">
        <v>144</v>
      </c>
      <c r="D18" s="207"/>
      <c r="E18" s="64">
        <f t="shared" si="0"/>
        <v>144</v>
      </c>
    </row>
    <row r="19" spans="1:5" x14ac:dyDescent="0.25">
      <c r="A19" s="57">
        <v>529700</v>
      </c>
      <c r="B19" s="9" t="s">
        <v>196</v>
      </c>
      <c r="C19" s="64">
        <v>3825</v>
      </c>
      <c r="D19" s="207"/>
      <c r="E19" s="64">
        <f t="shared" si="0"/>
        <v>3825</v>
      </c>
    </row>
    <row r="20" spans="1:5" x14ac:dyDescent="0.25">
      <c r="A20" s="6"/>
      <c r="B20" s="6" t="s">
        <v>111</v>
      </c>
      <c r="C20" s="65">
        <f>SUM(C13:C19)</f>
        <v>95527</v>
      </c>
      <c r="D20" s="208">
        <f>SUM(D13:D19)</f>
        <v>526</v>
      </c>
      <c r="E20" s="65">
        <f>SUM(E13:E19)</f>
        <v>96053</v>
      </c>
    </row>
    <row r="21" spans="1:5" x14ac:dyDescent="0.25">
      <c r="A21" s="57"/>
      <c r="B21" s="9"/>
      <c r="C21" s="64"/>
      <c r="D21" s="207"/>
      <c r="E21" s="64"/>
    </row>
    <row r="22" spans="1:5" x14ac:dyDescent="0.25">
      <c r="A22" s="57">
        <v>533600</v>
      </c>
      <c r="B22" s="26" t="s">
        <v>307</v>
      </c>
      <c r="C22" s="64">
        <v>2000</v>
      </c>
      <c r="D22" s="207"/>
      <c r="E22" s="64">
        <f>SUM(C22:D22)</f>
        <v>2000</v>
      </c>
    </row>
    <row r="23" spans="1:5" x14ac:dyDescent="0.25">
      <c r="A23" s="20">
        <v>532200</v>
      </c>
      <c r="B23" s="26" t="s">
        <v>132</v>
      </c>
      <c r="C23" s="64">
        <v>140000</v>
      </c>
      <c r="D23" s="207"/>
      <c r="E23" s="64">
        <f>SUM(C23:D23)</f>
        <v>140000</v>
      </c>
    </row>
    <row r="24" spans="1:5" x14ac:dyDescent="0.25">
      <c r="A24" s="57">
        <v>535500</v>
      </c>
      <c r="B24" s="9" t="s">
        <v>2</v>
      </c>
      <c r="C24" s="64">
        <v>2100</v>
      </c>
      <c r="D24" s="207"/>
      <c r="E24" s="64">
        <f>SUM(C24:D24)</f>
        <v>2100</v>
      </c>
    </row>
    <row r="25" spans="1:5" x14ac:dyDescent="0.25">
      <c r="A25" s="20">
        <v>535520</v>
      </c>
      <c r="B25" s="26" t="s">
        <v>24</v>
      </c>
      <c r="C25" s="64">
        <v>450</v>
      </c>
      <c r="D25" s="207"/>
      <c r="E25" s="64">
        <f>SUM(C25:D25)</f>
        <v>450</v>
      </c>
    </row>
    <row r="26" spans="1:5" x14ac:dyDescent="0.25">
      <c r="A26" s="20">
        <v>532000</v>
      </c>
      <c r="B26" s="26" t="s">
        <v>94</v>
      </c>
      <c r="C26" s="64">
        <v>7000</v>
      </c>
      <c r="D26" s="207"/>
      <c r="E26" s="64">
        <f>SUM(C26:D26)</f>
        <v>7000</v>
      </c>
    </row>
    <row r="27" spans="1:5" x14ac:dyDescent="0.25">
      <c r="A27" s="6"/>
      <c r="B27" s="6" t="s">
        <v>4</v>
      </c>
      <c r="C27" s="65">
        <f>SUM(C22:C26)</f>
        <v>151550</v>
      </c>
      <c r="D27" s="208">
        <f>SUM(D22:D26)</f>
        <v>0</v>
      </c>
      <c r="E27" s="65">
        <f>SUM(E22:E26)</f>
        <v>151550</v>
      </c>
    </row>
    <row r="28" spans="1:5" x14ac:dyDescent="0.25">
      <c r="A28" s="57"/>
      <c r="B28" s="9"/>
      <c r="C28" s="64"/>
      <c r="D28" s="207"/>
      <c r="E28" s="64"/>
    </row>
    <row r="29" spans="1:5" x14ac:dyDescent="0.25">
      <c r="A29" s="57">
        <v>543500</v>
      </c>
      <c r="B29" s="9" t="s">
        <v>6</v>
      </c>
      <c r="C29" s="64">
        <v>16950</v>
      </c>
      <c r="D29" s="207"/>
      <c r="E29" s="64">
        <f>SUM(C29:D29)</f>
        <v>16950</v>
      </c>
    </row>
    <row r="30" spans="1:5" x14ac:dyDescent="0.25">
      <c r="A30" s="20">
        <v>542900</v>
      </c>
      <c r="B30" s="26" t="s">
        <v>28</v>
      </c>
      <c r="C30" s="64">
        <v>1000</v>
      </c>
      <c r="D30" s="207"/>
      <c r="E30" s="64">
        <f>SUM(C30:D30)</f>
        <v>1000</v>
      </c>
    </row>
    <row r="31" spans="1:5" x14ac:dyDescent="0.25">
      <c r="A31" s="6"/>
      <c r="B31" s="6" t="s">
        <v>9</v>
      </c>
      <c r="C31" s="65">
        <f>SUM(C29:C30)</f>
        <v>17950</v>
      </c>
      <c r="D31" s="208">
        <f>SUM(D29:D30)</f>
        <v>0</v>
      </c>
      <c r="E31" s="65">
        <f>SUM(E29:E30)</f>
        <v>17950</v>
      </c>
    </row>
    <row r="32" spans="1:5" x14ac:dyDescent="0.25">
      <c r="A32" s="57"/>
      <c r="B32" s="9"/>
      <c r="C32" s="64"/>
      <c r="D32" s="207"/>
      <c r="E32" s="64"/>
    </row>
    <row r="33" spans="1:5" x14ac:dyDescent="0.25">
      <c r="A33" s="20">
        <v>552400</v>
      </c>
      <c r="B33" s="8" t="s">
        <v>11</v>
      </c>
      <c r="C33" s="64">
        <v>6469</v>
      </c>
      <c r="D33" s="207"/>
      <c r="E33" s="64">
        <f>SUM(C33:D33)</f>
        <v>6469</v>
      </c>
    </row>
    <row r="34" spans="1:5" x14ac:dyDescent="0.25">
      <c r="A34" s="10"/>
      <c r="B34" s="6" t="s">
        <v>12</v>
      </c>
      <c r="C34" s="65">
        <f>SUM(C33)</f>
        <v>6469</v>
      </c>
      <c r="D34" s="208">
        <f>SUM(D33)</f>
        <v>0</v>
      </c>
      <c r="E34" s="65">
        <f>SUM(E33)</f>
        <v>6469</v>
      </c>
    </row>
    <row r="35" spans="1:5" x14ac:dyDescent="0.25">
      <c r="A35" s="9"/>
      <c r="B35" s="9"/>
      <c r="C35" s="64"/>
      <c r="D35" s="207"/>
      <c r="E35" s="64"/>
    </row>
    <row r="36" spans="1:5" x14ac:dyDescent="0.25">
      <c r="A36" s="9"/>
      <c r="B36" s="9"/>
      <c r="C36" s="64"/>
      <c r="D36" s="207"/>
      <c r="E36" s="64"/>
    </row>
    <row r="37" spans="1:5" ht="15.6" x14ac:dyDescent="0.3">
      <c r="A37" s="12" t="s">
        <v>310</v>
      </c>
      <c r="B37" s="12"/>
      <c r="C37" s="70">
        <f>SUM(C31,C27,C20,C11,C34)</f>
        <v>661125</v>
      </c>
      <c r="D37" s="209">
        <f>SUM(D31,D27,D20,D11,D34)</f>
        <v>1555</v>
      </c>
      <c r="E37" s="70">
        <f>SUM(E31,E27,E20,E11,E34)</f>
        <v>662680</v>
      </c>
    </row>
  </sheetData>
  <mergeCells count="1">
    <mergeCell ref="A4:B4"/>
  </mergeCells>
  <pageMargins left="0.7" right="0.7" top="0.75" bottom="0.75" header="0.3" footer="0.3"/>
  <pageSetup scale="78" firstPageNumber="73" orientation="portrait" useFirstPageNumber="1" r:id="rId1"/>
  <headerFooter>
    <oddFooter>&amp;C&amp;"Arial,Bold"74</oddFooter>
  </headerFooter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F72"/>
  <sheetViews>
    <sheetView topLeftCell="A25" zoomScaleNormal="100" workbookViewId="0">
      <selection activeCell="D59" sqref="D59"/>
    </sheetView>
  </sheetViews>
  <sheetFormatPr defaultRowHeight="13.2" x14ac:dyDescent="0.25"/>
  <cols>
    <col min="1" max="1" width="11.6640625" style="37" customWidth="1"/>
    <col min="2" max="2" width="52.6640625" customWidth="1"/>
    <col min="3" max="3" width="17.6640625" customWidth="1"/>
    <col min="4" max="4" width="17.6640625" style="215" customWidth="1"/>
    <col min="5" max="6" width="17.6640625" customWidth="1"/>
  </cols>
  <sheetData>
    <row r="1" spans="1:5" ht="15.6" x14ac:dyDescent="0.3">
      <c r="A1" s="5" t="s">
        <v>261</v>
      </c>
    </row>
    <row r="2" spans="1:5" ht="15.6" x14ac:dyDescent="0.3">
      <c r="A2" s="5" t="s">
        <v>510</v>
      </c>
    </row>
    <row r="3" spans="1:5" ht="13.8" thickBot="1" x14ac:dyDescent="0.3">
      <c r="A3"/>
    </row>
    <row r="4" spans="1:5" ht="15.6" x14ac:dyDescent="0.3">
      <c r="A4" s="413" t="s">
        <v>250</v>
      </c>
      <c r="B4" s="414"/>
      <c r="C4" s="94" t="s">
        <v>483</v>
      </c>
      <c r="D4" s="356"/>
      <c r="E4" s="362" t="s">
        <v>511</v>
      </c>
    </row>
    <row r="5" spans="1:5" ht="15.6" x14ac:dyDescent="0.3">
      <c r="A5" s="60"/>
      <c r="B5" s="61"/>
      <c r="C5" s="93" t="s">
        <v>345</v>
      </c>
      <c r="D5" s="358"/>
      <c r="E5" s="363" t="s">
        <v>342</v>
      </c>
    </row>
    <row r="6" spans="1:5" ht="16.2" thickBot="1" x14ac:dyDescent="0.35">
      <c r="A6" s="13"/>
      <c r="B6" s="14"/>
      <c r="C6" s="14" t="s">
        <v>290</v>
      </c>
      <c r="D6" s="360" t="s">
        <v>493</v>
      </c>
      <c r="E6" s="364" t="s">
        <v>290</v>
      </c>
    </row>
    <row r="7" spans="1:5" ht="13.8" x14ac:dyDescent="0.25">
      <c r="A7" s="62">
        <v>72710</v>
      </c>
      <c r="B7" s="105" t="s">
        <v>270</v>
      </c>
      <c r="C7" s="69"/>
      <c r="D7" s="216"/>
      <c r="E7" s="25"/>
    </row>
    <row r="8" spans="1:5" x14ac:dyDescent="0.25">
      <c r="A8" s="20">
        <v>510500</v>
      </c>
      <c r="B8" s="26" t="s">
        <v>240</v>
      </c>
      <c r="C8" s="66">
        <v>245550</v>
      </c>
      <c r="D8" s="207">
        <f>1123+5619-6072-450+100+100</f>
        <v>420</v>
      </c>
      <c r="E8" s="66">
        <f>SUM(C8:D8)</f>
        <v>245970</v>
      </c>
    </row>
    <row r="9" spans="1:5" x14ac:dyDescent="0.25">
      <c r="A9" s="20">
        <v>516200</v>
      </c>
      <c r="B9" s="26" t="s">
        <v>14</v>
      </c>
      <c r="C9" s="66">
        <v>101342</v>
      </c>
      <c r="D9" s="207">
        <f>-2506+2319+250+100-50</f>
        <v>113</v>
      </c>
      <c r="E9" s="66">
        <f>SUM(C9:D9)</f>
        <v>101455</v>
      </c>
    </row>
    <row r="10" spans="1:5" x14ac:dyDescent="0.25">
      <c r="A10" s="20">
        <v>516800</v>
      </c>
      <c r="B10" s="26" t="s">
        <v>210</v>
      </c>
      <c r="C10" s="66">
        <v>86000</v>
      </c>
      <c r="D10" s="207"/>
      <c r="E10" s="66">
        <f>SUM(C10:D10)</f>
        <v>86000</v>
      </c>
    </row>
    <row r="11" spans="1:5" x14ac:dyDescent="0.25">
      <c r="A11" s="20">
        <v>518975</v>
      </c>
      <c r="B11" s="26" t="s">
        <v>40</v>
      </c>
      <c r="C11" s="66">
        <v>238822</v>
      </c>
      <c r="D11" s="207">
        <f>-5906+5465+450+100+50</f>
        <v>159</v>
      </c>
      <c r="E11" s="66">
        <f>SUM(C11:D11)</f>
        <v>238981</v>
      </c>
    </row>
    <row r="12" spans="1:5" x14ac:dyDescent="0.25">
      <c r="A12" s="6"/>
      <c r="B12" s="6" t="s">
        <v>102</v>
      </c>
      <c r="C12" s="65">
        <f>SUM(C8:C11)</f>
        <v>671714</v>
      </c>
      <c r="D12" s="208">
        <f>SUM(D8:D11)</f>
        <v>692</v>
      </c>
      <c r="E12" s="65">
        <f>SUM(E8:E11)</f>
        <v>672406</v>
      </c>
    </row>
    <row r="13" spans="1:5" x14ac:dyDescent="0.25">
      <c r="A13" s="20"/>
      <c r="B13" s="26"/>
      <c r="C13" s="66"/>
      <c r="D13" s="207"/>
      <c r="E13" s="66"/>
    </row>
    <row r="14" spans="1:5" x14ac:dyDescent="0.25">
      <c r="A14" s="20">
        <v>520100</v>
      </c>
      <c r="B14" s="26" t="s">
        <v>15</v>
      </c>
      <c r="C14" s="66">
        <v>53516</v>
      </c>
      <c r="D14" s="207">
        <f>245+1225-1218-250+100</f>
        <v>102</v>
      </c>
      <c r="E14" s="66">
        <f t="shared" ref="E14:E20" si="0">SUM(C14:D14)</f>
        <v>53618</v>
      </c>
    </row>
    <row r="15" spans="1:5" x14ac:dyDescent="0.25">
      <c r="A15" s="20">
        <v>521100</v>
      </c>
      <c r="B15" s="26" t="s">
        <v>20</v>
      </c>
      <c r="C15" s="66">
        <v>22050</v>
      </c>
      <c r="D15" s="207">
        <f>-502+505+100</f>
        <v>103</v>
      </c>
      <c r="E15" s="66">
        <f t="shared" si="0"/>
        <v>22153</v>
      </c>
    </row>
    <row r="16" spans="1:5" x14ac:dyDescent="0.25">
      <c r="A16" s="20">
        <v>520400</v>
      </c>
      <c r="B16" s="26" t="s">
        <v>16</v>
      </c>
      <c r="C16" s="66">
        <v>34147</v>
      </c>
      <c r="D16" s="207">
        <f>156+1355-777-200-100-100-100-100</f>
        <v>134</v>
      </c>
      <c r="E16" s="66">
        <f t="shared" si="0"/>
        <v>34281</v>
      </c>
    </row>
    <row r="17" spans="1:5" x14ac:dyDescent="0.25">
      <c r="A17" s="20">
        <v>520700</v>
      </c>
      <c r="B17" s="26" t="s">
        <v>18</v>
      </c>
      <c r="C17" s="66">
        <v>37445</v>
      </c>
      <c r="D17" s="207"/>
      <c r="E17" s="66">
        <f t="shared" si="0"/>
        <v>37445</v>
      </c>
    </row>
    <row r="18" spans="1:5" x14ac:dyDescent="0.25">
      <c r="A18" s="20">
        <v>520600</v>
      </c>
      <c r="B18" s="26" t="s">
        <v>17</v>
      </c>
      <c r="C18" s="66">
        <v>590</v>
      </c>
      <c r="D18" s="207"/>
      <c r="E18" s="66">
        <f t="shared" si="0"/>
        <v>590</v>
      </c>
    </row>
    <row r="19" spans="1:5" x14ac:dyDescent="0.25">
      <c r="A19" s="20">
        <v>520800</v>
      </c>
      <c r="B19" s="26" t="s">
        <v>19</v>
      </c>
      <c r="C19" s="66">
        <v>245</v>
      </c>
      <c r="D19" s="207"/>
      <c r="E19" s="66">
        <f t="shared" si="0"/>
        <v>245</v>
      </c>
    </row>
    <row r="20" spans="1:5" x14ac:dyDescent="0.25">
      <c r="A20" s="20">
        <v>529700</v>
      </c>
      <c r="B20" s="26" t="s">
        <v>196</v>
      </c>
      <c r="C20" s="66">
        <v>3825</v>
      </c>
      <c r="D20" s="207"/>
      <c r="E20" s="66">
        <f t="shared" si="0"/>
        <v>3825</v>
      </c>
    </row>
    <row r="21" spans="1:5" x14ac:dyDescent="0.25">
      <c r="A21" s="6"/>
      <c r="B21" s="6" t="s">
        <v>111</v>
      </c>
      <c r="C21" s="65">
        <f>SUM(C14:C20)</f>
        <v>151818</v>
      </c>
      <c r="D21" s="208">
        <f>SUM(D14:D20)</f>
        <v>339</v>
      </c>
      <c r="E21" s="65">
        <f>SUM(E14:E20)</f>
        <v>152157</v>
      </c>
    </row>
    <row r="22" spans="1:5" x14ac:dyDescent="0.25">
      <c r="A22" s="20"/>
      <c r="B22" s="26"/>
      <c r="C22" s="66"/>
      <c r="D22" s="207"/>
      <c r="E22" s="66"/>
    </row>
    <row r="23" spans="1:5" x14ac:dyDescent="0.25">
      <c r="A23" s="20">
        <v>534000</v>
      </c>
      <c r="B23" s="26" t="s">
        <v>212</v>
      </c>
      <c r="C23" s="66">
        <v>15000</v>
      </c>
      <c r="D23" s="207"/>
      <c r="E23" s="66">
        <f t="shared" ref="E23:E31" si="1">SUM(C23:D23)</f>
        <v>15000</v>
      </c>
    </row>
    <row r="24" spans="1:5" x14ac:dyDescent="0.25">
      <c r="A24" s="20">
        <v>530800</v>
      </c>
      <c r="B24" s="26" t="s">
        <v>52</v>
      </c>
      <c r="C24" s="66">
        <v>5000</v>
      </c>
      <c r="D24" s="207"/>
      <c r="E24" s="66">
        <f t="shared" si="1"/>
        <v>5000</v>
      </c>
    </row>
    <row r="25" spans="1:5" x14ac:dyDescent="0.25">
      <c r="A25" s="20">
        <v>533600</v>
      </c>
      <c r="B25" s="26" t="s">
        <v>295</v>
      </c>
      <c r="C25" s="66">
        <v>50000</v>
      </c>
      <c r="D25" s="207"/>
      <c r="E25" s="66">
        <f t="shared" si="1"/>
        <v>50000</v>
      </c>
    </row>
    <row r="26" spans="1:5" x14ac:dyDescent="0.25">
      <c r="A26" s="20">
        <v>530700</v>
      </c>
      <c r="B26" s="26" t="s">
        <v>1</v>
      </c>
      <c r="C26" s="66">
        <v>123500</v>
      </c>
      <c r="D26" s="207"/>
      <c r="E26" s="66">
        <f t="shared" si="1"/>
        <v>123500</v>
      </c>
    </row>
    <row r="27" spans="1:5" x14ac:dyDescent="0.25">
      <c r="A27" s="20">
        <v>534800</v>
      </c>
      <c r="B27" s="26" t="s">
        <v>335</v>
      </c>
      <c r="C27" s="66">
        <v>1300</v>
      </c>
      <c r="D27" s="207"/>
      <c r="E27" s="66">
        <f t="shared" si="1"/>
        <v>1300</v>
      </c>
    </row>
    <row r="28" spans="1:5" x14ac:dyDescent="0.25">
      <c r="A28" s="20">
        <v>530900</v>
      </c>
      <c r="B28" s="26" t="s">
        <v>79</v>
      </c>
      <c r="C28" s="66">
        <v>15500</v>
      </c>
      <c r="D28" s="207"/>
      <c r="E28" s="66">
        <f t="shared" si="1"/>
        <v>15500</v>
      </c>
    </row>
    <row r="29" spans="1:5" x14ac:dyDescent="0.25">
      <c r="A29" s="20">
        <v>535500</v>
      </c>
      <c r="B29" s="26" t="s">
        <v>2</v>
      </c>
      <c r="C29" s="66">
        <v>1000</v>
      </c>
      <c r="D29" s="207"/>
      <c r="E29" s="66">
        <f t="shared" si="1"/>
        <v>1000</v>
      </c>
    </row>
    <row r="30" spans="1:5" x14ac:dyDescent="0.25">
      <c r="A30" s="20">
        <v>532000</v>
      </c>
      <c r="B30" s="26" t="s">
        <v>94</v>
      </c>
      <c r="C30" s="66">
        <v>200</v>
      </c>
      <c r="D30" s="207"/>
      <c r="E30" s="66">
        <f t="shared" si="1"/>
        <v>200</v>
      </c>
    </row>
    <row r="31" spans="1:5" x14ac:dyDescent="0.25">
      <c r="A31" s="20">
        <v>535400</v>
      </c>
      <c r="B31" s="26" t="s">
        <v>124</v>
      </c>
      <c r="C31" s="66">
        <v>2000</v>
      </c>
      <c r="D31" s="207"/>
      <c r="E31" s="66">
        <f t="shared" si="1"/>
        <v>2000</v>
      </c>
    </row>
    <row r="32" spans="1:5" x14ac:dyDescent="0.25">
      <c r="A32" s="6"/>
      <c r="B32" s="6" t="s">
        <v>4</v>
      </c>
      <c r="C32" s="65">
        <f>SUM(C23:C31)</f>
        <v>213500</v>
      </c>
      <c r="D32" s="208">
        <f>SUM(D23:D31)</f>
        <v>0</v>
      </c>
      <c r="E32" s="65">
        <f>SUM(E23:E31)</f>
        <v>213500</v>
      </c>
    </row>
    <row r="33" spans="1:6" x14ac:dyDescent="0.25">
      <c r="A33" s="20"/>
      <c r="B33" s="26"/>
      <c r="C33" s="66"/>
      <c r="D33" s="207"/>
      <c r="E33" s="66"/>
    </row>
    <row r="34" spans="1:6" x14ac:dyDescent="0.25">
      <c r="A34" s="20">
        <v>545260</v>
      </c>
      <c r="B34" s="26" t="s">
        <v>5</v>
      </c>
      <c r="C34" s="66">
        <v>500</v>
      </c>
      <c r="D34" s="207"/>
      <c r="E34" s="66">
        <f>SUM(C34:D34)</f>
        <v>500</v>
      </c>
    </row>
    <row r="35" spans="1:6" x14ac:dyDescent="0.25">
      <c r="A35" s="20">
        <v>543500</v>
      </c>
      <c r="B35" s="26" t="s">
        <v>6</v>
      </c>
      <c r="C35" s="66">
        <v>70000</v>
      </c>
      <c r="D35" s="207">
        <v>-13290</v>
      </c>
      <c r="E35" s="66">
        <f>SUM(C35:D35)</f>
        <v>56710</v>
      </c>
    </row>
    <row r="36" spans="1:6" x14ac:dyDescent="0.25">
      <c r="A36" s="20">
        <v>541860</v>
      </c>
      <c r="B36" s="26" t="s">
        <v>246</v>
      </c>
      <c r="C36" s="66">
        <v>12000</v>
      </c>
      <c r="D36" s="207"/>
      <c r="E36" s="66">
        <f>SUM(C36:D36)</f>
        <v>12000</v>
      </c>
    </row>
    <row r="37" spans="1:6" x14ac:dyDescent="0.25">
      <c r="A37" s="20">
        <v>543200</v>
      </c>
      <c r="B37" s="26" t="s">
        <v>8</v>
      </c>
      <c r="C37" s="66">
        <v>250</v>
      </c>
      <c r="D37" s="207"/>
      <c r="E37" s="66">
        <f>SUM(C37:D37)</f>
        <v>250</v>
      </c>
    </row>
    <row r="38" spans="1:6" x14ac:dyDescent="0.25">
      <c r="A38" s="20">
        <v>543700</v>
      </c>
      <c r="B38" s="26" t="s">
        <v>43</v>
      </c>
      <c r="C38" s="66">
        <v>150</v>
      </c>
      <c r="D38" s="207"/>
      <c r="E38" s="66">
        <f>SUM(C38:D38)</f>
        <v>150</v>
      </c>
    </row>
    <row r="39" spans="1:6" x14ac:dyDescent="0.25">
      <c r="A39" s="6"/>
      <c r="B39" s="6" t="s">
        <v>9</v>
      </c>
      <c r="C39" s="65">
        <f>SUM(C34:C38)</f>
        <v>82900</v>
      </c>
      <c r="D39" s="208">
        <f>SUM(D34:D38)</f>
        <v>-13290</v>
      </c>
      <c r="E39" s="65">
        <f>SUM(E34:E38)</f>
        <v>69610</v>
      </c>
    </row>
    <row r="40" spans="1:6" x14ac:dyDescent="0.25">
      <c r="A40" s="20"/>
      <c r="B40" s="26"/>
      <c r="C40" s="66"/>
      <c r="D40" s="207"/>
      <c r="E40" s="66"/>
    </row>
    <row r="41" spans="1:6" x14ac:dyDescent="0.25">
      <c r="A41" s="20">
        <v>552400</v>
      </c>
      <c r="B41" s="26" t="s">
        <v>11</v>
      </c>
      <c r="C41" s="66">
        <v>1870</v>
      </c>
      <c r="D41" s="207"/>
      <c r="E41" s="66">
        <f>SUM(C41:D41)</f>
        <v>1870</v>
      </c>
    </row>
    <row r="42" spans="1:6" x14ac:dyDescent="0.25">
      <c r="A42" s="6"/>
      <c r="B42" s="6" t="s">
        <v>12</v>
      </c>
      <c r="C42" s="65">
        <f>SUM(C41)</f>
        <v>1870</v>
      </c>
      <c r="D42" s="208">
        <f>SUM(D41)</f>
        <v>0</v>
      </c>
      <c r="E42" s="65">
        <f>SUM(E41)</f>
        <v>1870</v>
      </c>
    </row>
    <row r="43" spans="1:6" x14ac:dyDescent="0.25">
      <c r="A43" s="20"/>
      <c r="B43" s="26"/>
      <c r="C43" s="66"/>
      <c r="D43" s="207"/>
      <c r="E43" s="66"/>
    </row>
    <row r="44" spans="1:6" ht="13.8" x14ac:dyDescent="0.25">
      <c r="A44" s="63">
        <v>72711</v>
      </c>
      <c r="B44" s="24" t="s">
        <v>247</v>
      </c>
      <c r="C44" s="66"/>
      <c r="D44" s="207"/>
      <c r="E44" s="66"/>
    </row>
    <row r="45" spans="1:6" x14ac:dyDescent="0.25">
      <c r="A45" s="20">
        <v>535400</v>
      </c>
      <c r="B45" s="26" t="s">
        <v>124</v>
      </c>
      <c r="C45" s="66">
        <v>8937677</v>
      </c>
      <c r="D45" s="207">
        <f>-50018+627052</f>
        <v>577034</v>
      </c>
      <c r="E45" s="66">
        <f>SUM(C45:D45)</f>
        <v>9514711</v>
      </c>
      <c r="F45" s="2"/>
    </row>
    <row r="46" spans="1:6" x14ac:dyDescent="0.25">
      <c r="A46" s="6"/>
      <c r="B46" s="6" t="s">
        <v>4</v>
      </c>
      <c r="C46" s="65">
        <f>SUM(C45:C45)</f>
        <v>8937677</v>
      </c>
      <c r="D46" s="208">
        <f>SUM(D45:D45)</f>
        <v>577034</v>
      </c>
      <c r="E46" s="65">
        <f>SUM(E45:E45)</f>
        <v>9514711</v>
      </c>
    </row>
    <row r="47" spans="1:6" x14ac:dyDescent="0.25">
      <c r="A47" s="6"/>
      <c r="B47" s="6"/>
      <c r="C47" s="66"/>
      <c r="D47" s="207"/>
      <c r="E47" s="66"/>
    </row>
    <row r="48" spans="1:6" s="1" customFormat="1" ht="13.8" x14ac:dyDescent="0.25">
      <c r="A48" s="63">
        <v>72713</v>
      </c>
      <c r="B48" s="24" t="s">
        <v>254</v>
      </c>
      <c r="C48" s="65"/>
      <c r="D48" s="208"/>
      <c r="E48" s="65"/>
    </row>
    <row r="49" spans="1:5" x14ac:dyDescent="0.25">
      <c r="A49" s="20">
        <v>535400</v>
      </c>
      <c r="B49" s="26" t="s">
        <v>124</v>
      </c>
      <c r="C49" s="66">
        <v>90616</v>
      </c>
      <c r="D49" s="207">
        <f>-507+933</f>
        <v>426</v>
      </c>
      <c r="E49" s="66">
        <f>SUM(C49:D49)</f>
        <v>91042</v>
      </c>
    </row>
    <row r="50" spans="1:5" x14ac:dyDescent="0.25">
      <c r="A50" s="20"/>
      <c r="B50" s="6" t="s">
        <v>4</v>
      </c>
      <c r="C50" s="65">
        <f>SUM(C49:C49)</f>
        <v>90616</v>
      </c>
      <c r="D50" s="208">
        <f>SUM(D49:D49)</f>
        <v>426</v>
      </c>
      <c r="E50" s="65">
        <f>SUM(E49:E49)</f>
        <v>91042</v>
      </c>
    </row>
    <row r="51" spans="1:5" x14ac:dyDescent="0.25">
      <c r="A51" s="20"/>
      <c r="B51" s="26"/>
      <c r="C51" s="66"/>
      <c r="D51" s="207"/>
      <c r="E51" s="66"/>
    </row>
    <row r="52" spans="1:5" x14ac:dyDescent="0.25">
      <c r="A52" s="20"/>
      <c r="B52" s="26"/>
      <c r="C52" s="66"/>
      <c r="D52" s="207"/>
      <c r="E52" s="66"/>
    </row>
    <row r="53" spans="1:5" ht="13.8" x14ac:dyDescent="0.25">
      <c r="A53" s="63">
        <v>72714</v>
      </c>
      <c r="B53" s="24" t="s">
        <v>248</v>
      </c>
      <c r="C53" s="66"/>
      <c r="D53" s="207"/>
      <c r="E53" s="66"/>
    </row>
    <row r="54" spans="1:5" x14ac:dyDescent="0.25">
      <c r="A54" s="20">
        <v>516200</v>
      </c>
      <c r="B54" s="26" t="s">
        <v>14</v>
      </c>
      <c r="C54" s="66">
        <v>81313</v>
      </c>
      <c r="D54" s="207">
        <f>-616+837</f>
        <v>221</v>
      </c>
      <c r="E54" s="66">
        <f>SUM(C54:D54)</f>
        <v>81534</v>
      </c>
    </row>
    <row r="55" spans="1:5" x14ac:dyDescent="0.25">
      <c r="A55" s="6"/>
      <c r="B55" s="6" t="s">
        <v>102</v>
      </c>
      <c r="C55" s="65">
        <f>SUM(C54:C54)</f>
        <v>81313</v>
      </c>
      <c r="D55" s="208">
        <f>SUM(D54:D54)</f>
        <v>221</v>
      </c>
      <c r="E55" s="65">
        <f>SUM(E54:E54)</f>
        <v>81534</v>
      </c>
    </row>
    <row r="56" spans="1:5" x14ac:dyDescent="0.25">
      <c r="A56" s="6"/>
      <c r="B56" s="10"/>
      <c r="C56" s="66"/>
      <c r="D56" s="207"/>
      <c r="E56" s="66"/>
    </row>
    <row r="57" spans="1:5" s="2" customFormat="1" x14ac:dyDescent="0.25">
      <c r="A57" s="20">
        <v>520100</v>
      </c>
      <c r="B57" s="26" t="s">
        <v>15</v>
      </c>
      <c r="C57" s="66">
        <v>5384</v>
      </c>
      <c r="D57" s="207">
        <f>-41+55</f>
        <v>14</v>
      </c>
      <c r="E57" s="66">
        <f>SUM(C57:D57)</f>
        <v>5398</v>
      </c>
    </row>
    <row r="58" spans="1:5" x14ac:dyDescent="0.25">
      <c r="A58" s="20">
        <v>521100</v>
      </c>
      <c r="B58" s="26" t="s">
        <v>20</v>
      </c>
      <c r="C58" s="66">
        <v>2332</v>
      </c>
      <c r="D58" s="207">
        <f>-18+24</f>
        <v>6</v>
      </c>
      <c r="E58" s="66">
        <f>SUM(C58:D58)</f>
        <v>2338</v>
      </c>
    </row>
    <row r="59" spans="1:5" s="2" customFormat="1" x14ac:dyDescent="0.25">
      <c r="A59" s="20">
        <v>520700</v>
      </c>
      <c r="B59" s="26" t="s">
        <v>18</v>
      </c>
      <c r="C59" s="66">
        <v>8782</v>
      </c>
      <c r="D59" s="207"/>
      <c r="E59" s="66">
        <f>SUM(C59:D59)</f>
        <v>8782</v>
      </c>
    </row>
    <row r="60" spans="1:5" s="2" customFormat="1" x14ac:dyDescent="0.25">
      <c r="A60" s="20">
        <v>520600</v>
      </c>
      <c r="B60" s="26" t="s">
        <v>17</v>
      </c>
      <c r="C60" s="66">
        <v>170</v>
      </c>
      <c r="D60" s="207"/>
      <c r="E60" s="66">
        <f>SUM(C60:D60)</f>
        <v>170</v>
      </c>
    </row>
    <row r="61" spans="1:5" s="1" customFormat="1" x14ac:dyDescent="0.25">
      <c r="A61" s="6"/>
      <c r="B61" s="6" t="s">
        <v>111</v>
      </c>
      <c r="C61" s="65">
        <f>SUM(C57:C60)</f>
        <v>16668</v>
      </c>
      <c r="D61" s="208">
        <f>SUM(D57:D60)</f>
        <v>20</v>
      </c>
      <c r="E61" s="65">
        <f>SUM(E57:E60)</f>
        <v>16688</v>
      </c>
    </row>
    <row r="62" spans="1:5" x14ac:dyDescent="0.25">
      <c r="A62" s="6"/>
      <c r="B62" s="10"/>
      <c r="C62" s="66"/>
      <c r="D62" s="207"/>
      <c r="E62" s="66"/>
    </row>
    <row r="63" spans="1:5" x14ac:dyDescent="0.25">
      <c r="A63" s="20">
        <v>531300</v>
      </c>
      <c r="B63" s="26" t="s">
        <v>249</v>
      </c>
      <c r="C63" s="66">
        <v>100000</v>
      </c>
      <c r="D63" s="207"/>
      <c r="E63" s="66">
        <f>SUM(C63:D63)</f>
        <v>100000</v>
      </c>
    </row>
    <row r="64" spans="1:5" x14ac:dyDescent="0.25">
      <c r="A64" s="20">
        <v>535400</v>
      </c>
      <c r="B64" s="26" t="s">
        <v>124</v>
      </c>
      <c r="C64" s="66">
        <v>4836115</v>
      </c>
      <c r="D64" s="207">
        <f>-27065+49809</f>
        <v>22744</v>
      </c>
      <c r="E64" s="66">
        <f>SUM(C64:D64)</f>
        <v>4858859</v>
      </c>
    </row>
    <row r="65" spans="1:5" x14ac:dyDescent="0.25">
      <c r="A65" s="6"/>
      <c r="B65" s="6" t="s">
        <v>4</v>
      </c>
      <c r="C65" s="65">
        <f>SUM(C63:C64)</f>
        <v>4936115</v>
      </c>
      <c r="D65" s="208">
        <f>SUM(D63:D64)</f>
        <v>22744</v>
      </c>
      <c r="E65" s="65">
        <f>SUM(E63:E64)</f>
        <v>4958859</v>
      </c>
    </row>
    <row r="66" spans="1:5" x14ac:dyDescent="0.25">
      <c r="A66" s="20"/>
      <c r="B66" s="26"/>
      <c r="C66" s="66"/>
      <c r="D66" s="207"/>
      <c r="E66" s="66"/>
    </row>
    <row r="67" spans="1:5" x14ac:dyDescent="0.25">
      <c r="A67" s="20">
        <v>543100</v>
      </c>
      <c r="B67" s="26" t="s">
        <v>64</v>
      </c>
      <c r="C67" s="66">
        <v>1000</v>
      </c>
      <c r="D67" s="207"/>
      <c r="E67" s="66">
        <f>SUM(C67:D67)</f>
        <v>1000</v>
      </c>
    </row>
    <row r="68" spans="1:5" x14ac:dyDescent="0.25">
      <c r="A68" s="20">
        <v>549900</v>
      </c>
      <c r="B68" s="26" t="s">
        <v>65</v>
      </c>
      <c r="C68" s="66">
        <v>6000</v>
      </c>
      <c r="D68" s="207"/>
      <c r="E68" s="66">
        <f>SUM(C68:D68)</f>
        <v>6000</v>
      </c>
    </row>
    <row r="69" spans="1:5" x14ac:dyDescent="0.25">
      <c r="A69" s="6"/>
      <c r="B69" s="6" t="s">
        <v>9</v>
      </c>
      <c r="C69" s="65">
        <f>SUM(C67:C68)</f>
        <v>7000</v>
      </c>
      <c r="D69" s="208">
        <f>SUM(D67:D68)</f>
        <v>0</v>
      </c>
      <c r="E69" s="65">
        <f>SUM(E67:E68)</f>
        <v>7000</v>
      </c>
    </row>
    <row r="70" spans="1:5" x14ac:dyDescent="0.25">
      <c r="A70" s="20"/>
      <c r="B70" s="26"/>
      <c r="C70" s="66"/>
      <c r="D70" s="207"/>
      <c r="E70" s="66"/>
    </row>
    <row r="71" spans="1:5" x14ac:dyDescent="0.25">
      <c r="A71" s="11"/>
      <c r="B71" s="9"/>
      <c r="C71" s="64"/>
      <c r="D71" s="207"/>
      <c r="E71" s="64"/>
    </row>
    <row r="72" spans="1:5" s="23" customFormat="1" ht="15.6" x14ac:dyDescent="0.3">
      <c r="A72" s="76" t="s">
        <v>271</v>
      </c>
      <c r="B72" s="12"/>
      <c r="C72" s="70">
        <f>SUM(C12+C21+C32+C39+C42+C46+C50+C55+C61+C65+C69)</f>
        <v>15191191</v>
      </c>
      <c r="D72" s="209">
        <f>SUM(D12+D21+D32+D39+D42+D46+D50+D55+D61+D65+D69)</f>
        <v>588186</v>
      </c>
      <c r="E72" s="70">
        <f>SUM(E12+E21+E32+E39+E42+E46+E50+E55+E61+E65+E69)</f>
        <v>15779377</v>
      </c>
    </row>
  </sheetData>
  <mergeCells count="1">
    <mergeCell ref="A4:B4"/>
  </mergeCells>
  <phoneticPr fontId="0" type="noConversion"/>
  <printOptions horizontalCentered="1"/>
  <pageMargins left="0.25" right="0.25" top="0.5" bottom="0.25" header="0.5" footer="0.5"/>
  <pageSetup scale="73" firstPageNumber="74" orientation="portrait" useFirstPageNumber="1" r:id="rId1"/>
  <headerFooter alignWithMargins="0">
    <oddFooter>&amp;C&amp;"Arial,Bold"75</oddFooter>
  </headerFooter>
  <rowBreaks count="1" manualBreakCount="1">
    <brk id="52" max="5" man="1"/>
  </rowBreaks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0"/>
  <sheetViews>
    <sheetView zoomScaleNormal="100" workbookViewId="0">
      <selection activeCell="F32" sqref="F32"/>
    </sheetView>
  </sheetViews>
  <sheetFormatPr defaultRowHeight="13.2" x14ac:dyDescent="0.25"/>
  <cols>
    <col min="1" max="1" width="11.6640625" customWidth="1"/>
    <col min="2" max="2" width="53" customWidth="1"/>
    <col min="3" max="3" width="17.6640625" customWidth="1"/>
    <col min="4" max="4" width="15.5546875" style="210" customWidth="1"/>
    <col min="5" max="5" width="17.6640625" customWidth="1"/>
    <col min="6" max="6" width="17.6640625" style="56" customWidth="1"/>
    <col min="8" max="8" width="9.6640625" bestFit="1" customWidth="1"/>
  </cols>
  <sheetData>
    <row r="1" spans="1:8" ht="15.6" x14ac:dyDescent="0.3">
      <c r="A1" s="5" t="s">
        <v>261</v>
      </c>
    </row>
    <row r="2" spans="1:8" ht="15.6" x14ac:dyDescent="0.3">
      <c r="A2" s="5" t="s">
        <v>510</v>
      </c>
    </row>
    <row r="3" spans="1:8" ht="13.8" thickBot="1" x14ac:dyDescent="0.3"/>
    <row r="4" spans="1:8" ht="15.6" x14ac:dyDescent="0.3">
      <c r="A4" s="413" t="s">
        <v>230</v>
      </c>
      <c r="B4" s="414"/>
      <c r="C4" s="94" t="s">
        <v>483</v>
      </c>
      <c r="D4" s="211"/>
      <c r="E4" s="95" t="s">
        <v>511</v>
      </c>
    </row>
    <row r="5" spans="1:8" ht="15.6" x14ac:dyDescent="0.3">
      <c r="A5" s="60"/>
      <c r="B5" s="61"/>
      <c r="C5" s="93" t="s">
        <v>345</v>
      </c>
      <c r="D5" s="237"/>
      <c r="E5" s="96" t="s">
        <v>342</v>
      </c>
    </row>
    <row r="6" spans="1:8" ht="16.2" thickBot="1" x14ac:dyDescent="0.35">
      <c r="A6" s="13"/>
      <c r="B6" s="14"/>
      <c r="C6" s="14" t="s">
        <v>290</v>
      </c>
      <c r="D6" s="212" t="s">
        <v>493</v>
      </c>
      <c r="E6" s="97" t="s">
        <v>290</v>
      </c>
    </row>
    <row r="7" spans="1:8" ht="13.8" x14ac:dyDescent="0.25">
      <c r="A7" s="62">
        <v>79000</v>
      </c>
      <c r="B7" s="78" t="s">
        <v>215</v>
      </c>
      <c r="C7" s="25"/>
      <c r="D7" s="213"/>
      <c r="E7" s="25"/>
    </row>
    <row r="8" spans="1:8" x14ac:dyDescent="0.25">
      <c r="A8" s="71">
        <v>559000</v>
      </c>
      <c r="B8" s="26" t="s">
        <v>279</v>
      </c>
      <c r="C8" s="64"/>
      <c r="D8" s="206"/>
      <c r="E8" s="64"/>
    </row>
    <row r="9" spans="1:8" x14ac:dyDescent="0.25">
      <c r="A9" s="71"/>
      <c r="B9" s="26" t="s">
        <v>278</v>
      </c>
      <c r="C9" s="64">
        <v>7832486</v>
      </c>
      <c r="D9" s="207"/>
      <c r="E9" s="64">
        <f>SUM(C9:D9)</f>
        <v>7832486</v>
      </c>
    </row>
    <row r="10" spans="1:8" x14ac:dyDescent="0.25">
      <c r="A10" s="71"/>
      <c r="B10" s="26" t="s">
        <v>280</v>
      </c>
      <c r="C10" s="64">
        <v>85500</v>
      </c>
      <c r="D10" s="207"/>
      <c r="E10" s="64">
        <f t="shared" ref="E10:E18" si="0">SUM(C10:D10)</f>
        <v>85500</v>
      </c>
      <c r="H10" s="56"/>
    </row>
    <row r="11" spans="1:8" x14ac:dyDescent="0.25">
      <c r="A11" s="71"/>
      <c r="B11" s="26" t="s">
        <v>281</v>
      </c>
      <c r="C11" s="64">
        <v>32712</v>
      </c>
      <c r="D11" s="206"/>
      <c r="E11" s="64">
        <f t="shared" si="0"/>
        <v>32712</v>
      </c>
    </row>
    <row r="12" spans="1:8" x14ac:dyDescent="0.25">
      <c r="A12" s="71"/>
      <c r="B12" s="26" t="s">
        <v>282</v>
      </c>
      <c r="C12" s="64">
        <v>22355</v>
      </c>
      <c r="D12" s="206"/>
      <c r="E12" s="64">
        <f t="shared" si="0"/>
        <v>22355</v>
      </c>
    </row>
    <row r="13" spans="1:8" x14ac:dyDescent="0.25">
      <c r="A13" s="71"/>
      <c r="B13" s="26" t="s">
        <v>283</v>
      </c>
      <c r="C13" s="64">
        <v>25000</v>
      </c>
      <c r="D13" s="206"/>
      <c r="E13" s="64">
        <f t="shared" si="0"/>
        <v>25000</v>
      </c>
    </row>
    <row r="14" spans="1:8" x14ac:dyDescent="0.25">
      <c r="A14" s="71"/>
      <c r="B14" s="26" t="s">
        <v>284</v>
      </c>
      <c r="C14" s="64">
        <v>15000</v>
      </c>
      <c r="D14" s="207"/>
      <c r="E14" s="64">
        <f t="shared" si="0"/>
        <v>15000</v>
      </c>
    </row>
    <row r="15" spans="1:8" x14ac:dyDescent="0.25">
      <c r="A15" s="71"/>
      <c r="B15" s="26" t="s">
        <v>341</v>
      </c>
      <c r="C15" s="64">
        <v>30000</v>
      </c>
      <c r="D15" s="207"/>
      <c r="E15" s="64">
        <f t="shared" si="0"/>
        <v>30000</v>
      </c>
    </row>
    <row r="16" spans="1:8" x14ac:dyDescent="0.25">
      <c r="A16" s="71"/>
      <c r="B16" s="26" t="s">
        <v>478</v>
      </c>
      <c r="C16" s="64">
        <v>2570000</v>
      </c>
      <c r="D16" s="207"/>
      <c r="E16" s="64">
        <f t="shared" si="0"/>
        <v>2570000</v>
      </c>
    </row>
    <row r="17" spans="1:5" x14ac:dyDescent="0.25">
      <c r="A17" s="71"/>
      <c r="B17" s="26" t="s">
        <v>524</v>
      </c>
      <c r="C17" s="64">
        <v>0</v>
      </c>
      <c r="D17" s="207">
        <v>686000</v>
      </c>
      <c r="E17" s="64">
        <f t="shared" si="0"/>
        <v>686000</v>
      </c>
    </row>
    <row r="18" spans="1:5" x14ac:dyDescent="0.25">
      <c r="A18" s="71"/>
      <c r="B18" s="26" t="s">
        <v>525</v>
      </c>
      <c r="C18" s="64">
        <v>100000</v>
      </c>
      <c r="D18" s="207">
        <f>-150000+550000</f>
        <v>400000</v>
      </c>
      <c r="E18" s="64">
        <f t="shared" si="0"/>
        <v>500000</v>
      </c>
    </row>
    <row r="19" spans="1:5" x14ac:dyDescent="0.25">
      <c r="A19" s="39"/>
      <c r="B19" s="9"/>
      <c r="C19" s="64"/>
      <c r="D19" s="206"/>
      <c r="E19" s="64"/>
    </row>
    <row r="20" spans="1:5" ht="15.6" x14ac:dyDescent="0.3">
      <c r="A20" s="12" t="s">
        <v>272</v>
      </c>
      <c r="B20" s="12"/>
      <c r="C20" s="21">
        <f>SUM(C9:C19)</f>
        <v>10713053</v>
      </c>
      <c r="D20" s="209">
        <f>SUM(D9:D19)</f>
        <v>1086000</v>
      </c>
      <c r="E20" s="21">
        <f>SUM(E9:E19)</f>
        <v>11799053</v>
      </c>
    </row>
  </sheetData>
  <mergeCells count="1">
    <mergeCell ref="A4:B4"/>
  </mergeCells>
  <phoneticPr fontId="0" type="noConversion"/>
  <printOptions horizontalCentered="1"/>
  <pageMargins left="0.75" right="0.75" top="1" bottom="1" header="0.5" footer="0.5"/>
  <pageSetup scale="78" firstPageNumber="75" orientation="portrait" useFirstPageNumber="1" r:id="rId1"/>
  <headerFooter alignWithMargins="0">
    <oddFooter>&amp;C&amp;"Arial,Bold"76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E34"/>
  <sheetViews>
    <sheetView workbookViewId="0">
      <selection activeCell="D13" sqref="D13"/>
    </sheetView>
  </sheetViews>
  <sheetFormatPr defaultRowHeight="13.2" x14ac:dyDescent="0.25"/>
  <cols>
    <col min="1" max="1" width="11.6640625" customWidth="1"/>
    <col min="2" max="2" width="52.6640625" customWidth="1"/>
    <col min="3" max="3" width="17.6640625" customWidth="1"/>
    <col min="4" max="4" width="17.6640625" style="210" customWidth="1"/>
    <col min="5" max="5" width="17.6640625" customWidth="1"/>
  </cols>
  <sheetData>
    <row r="1" spans="1:5" ht="15.6" x14ac:dyDescent="0.3">
      <c r="A1" s="5" t="s">
        <v>261</v>
      </c>
    </row>
    <row r="2" spans="1:5" ht="15.6" x14ac:dyDescent="0.3">
      <c r="A2" s="5" t="s">
        <v>510</v>
      </c>
    </row>
    <row r="3" spans="1:5" ht="13.8" thickBot="1" x14ac:dyDescent="0.3"/>
    <row r="4" spans="1:5" ht="15.6" x14ac:dyDescent="0.3">
      <c r="A4" s="413" t="s">
        <v>158</v>
      </c>
      <c r="B4" s="414"/>
      <c r="C4" s="94" t="s">
        <v>483</v>
      </c>
      <c r="D4" s="356"/>
      <c r="E4" s="362" t="s">
        <v>511</v>
      </c>
    </row>
    <row r="5" spans="1:5" ht="15.6" x14ac:dyDescent="0.3">
      <c r="A5" s="60"/>
      <c r="B5" s="61"/>
      <c r="C5" s="93" t="s">
        <v>345</v>
      </c>
      <c r="D5" s="358"/>
      <c r="E5" s="363" t="s">
        <v>342</v>
      </c>
    </row>
    <row r="6" spans="1:5" ht="16.2" thickBot="1" x14ac:dyDescent="0.35">
      <c r="A6" s="13"/>
      <c r="B6" s="14"/>
      <c r="C6" s="14" t="s">
        <v>290</v>
      </c>
      <c r="D6" s="360" t="s">
        <v>493</v>
      </c>
      <c r="E6" s="364" t="s">
        <v>290</v>
      </c>
    </row>
    <row r="7" spans="1:5" ht="13.8" x14ac:dyDescent="0.25">
      <c r="A7" s="62">
        <v>71101</v>
      </c>
      <c r="B7" s="78" t="s">
        <v>32</v>
      </c>
      <c r="C7" s="25"/>
      <c r="D7" s="213"/>
      <c r="E7" s="25"/>
    </row>
    <row r="8" spans="1:5" x14ac:dyDescent="0.25">
      <c r="A8" s="71">
        <v>533600</v>
      </c>
      <c r="B8" s="42" t="s">
        <v>135</v>
      </c>
      <c r="C8" s="64">
        <v>2500</v>
      </c>
      <c r="D8" s="369"/>
      <c r="E8" s="64">
        <f>SUM(C8:D8)</f>
        <v>2500</v>
      </c>
    </row>
    <row r="9" spans="1:5" x14ac:dyDescent="0.25">
      <c r="A9" s="43"/>
      <c r="B9" s="43" t="s">
        <v>4</v>
      </c>
      <c r="C9" s="65">
        <f>SUM(C8)</f>
        <v>2500</v>
      </c>
      <c r="D9" s="208">
        <f>SUM(D8)</f>
        <v>0</v>
      </c>
      <c r="E9" s="65">
        <f>SUM(E8)</f>
        <v>2500</v>
      </c>
    </row>
    <row r="10" spans="1:5" x14ac:dyDescent="0.25">
      <c r="A10" s="74"/>
      <c r="B10" s="44"/>
      <c r="C10" s="64"/>
      <c r="D10" s="369"/>
      <c r="E10" s="64"/>
    </row>
    <row r="11" spans="1:5" x14ac:dyDescent="0.25">
      <c r="A11" s="72">
        <v>543500</v>
      </c>
      <c r="B11" s="44" t="s">
        <v>6</v>
      </c>
      <c r="C11" s="64">
        <v>10000</v>
      </c>
      <c r="D11" s="369"/>
      <c r="E11" s="64">
        <f>SUM(C11:D11)</f>
        <v>10000</v>
      </c>
    </row>
    <row r="12" spans="1:5" x14ac:dyDescent="0.25">
      <c r="A12" s="72">
        <v>542900</v>
      </c>
      <c r="B12" s="44" t="s">
        <v>28</v>
      </c>
      <c r="C12" s="64">
        <v>216430</v>
      </c>
      <c r="D12" s="369">
        <v>-21089</v>
      </c>
      <c r="E12" s="64">
        <f>SUM(C12:D12)</f>
        <v>195341</v>
      </c>
    </row>
    <row r="13" spans="1:5" x14ac:dyDescent="0.25">
      <c r="A13" s="40"/>
      <c r="B13" s="43" t="s">
        <v>9</v>
      </c>
      <c r="C13" s="65">
        <f>SUM(C11:C12)</f>
        <v>226430</v>
      </c>
      <c r="D13" s="208">
        <f>SUM(D11:D12)</f>
        <v>-21089</v>
      </c>
      <c r="E13" s="65">
        <f>SUM(E11:E12)</f>
        <v>205341</v>
      </c>
    </row>
    <row r="14" spans="1:5" x14ac:dyDescent="0.25">
      <c r="A14" s="40"/>
      <c r="B14" s="43"/>
      <c r="C14" s="64"/>
      <c r="D14" s="369"/>
      <c r="E14" s="64"/>
    </row>
    <row r="15" spans="1:5" s="1" customFormat="1" ht="13.8" x14ac:dyDescent="0.25">
      <c r="A15" s="40"/>
      <c r="B15" s="24" t="s">
        <v>81</v>
      </c>
      <c r="C15" s="67">
        <f>SUM(C9+C13)</f>
        <v>228930</v>
      </c>
      <c r="D15" s="214">
        <f>SUM(D9+D13)</f>
        <v>-21089</v>
      </c>
      <c r="E15" s="67">
        <f>SUM(E9+E13)</f>
        <v>207841</v>
      </c>
    </row>
    <row r="16" spans="1:5" s="1" customFormat="1" x14ac:dyDescent="0.25">
      <c r="A16" s="40"/>
      <c r="B16" s="46"/>
      <c r="C16" s="65"/>
      <c r="D16" s="208"/>
      <c r="E16" s="65"/>
    </row>
    <row r="17" spans="1:5" s="35" customFormat="1" ht="13.8" x14ac:dyDescent="0.25">
      <c r="A17" s="63">
        <v>72218</v>
      </c>
      <c r="B17" s="45" t="s">
        <v>37</v>
      </c>
      <c r="C17" s="75"/>
      <c r="D17" s="371"/>
      <c r="E17" s="75"/>
    </row>
    <row r="18" spans="1:5" x14ac:dyDescent="0.25">
      <c r="A18" s="72">
        <v>534800</v>
      </c>
      <c r="B18" s="26" t="s">
        <v>335</v>
      </c>
      <c r="C18" s="64">
        <v>65</v>
      </c>
      <c r="D18" s="369"/>
      <c r="E18" s="64">
        <f>SUM(C18:D18)</f>
        <v>65</v>
      </c>
    </row>
    <row r="19" spans="1:5" x14ac:dyDescent="0.25">
      <c r="A19" s="72">
        <v>532000</v>
      </c>
      <c r="B19" s="44" t="s">
        <v>94</v>
      </c>
      <c r="C19" s="64">
        <v>300</v>
      </c>
      <c r="D19" s="369"/>
      <c r="E19" s="64">
        <f>SUM(C19:D19)</f>
        <v>300</v>
      </c>
    </row>
    <row r="20" spans="1:5" x14ac:dyDescent="0.25">
      <c r="A20" s="43"/>
      <c r="B20" s="43" t="s">
        <v>4</v>
      </c>
      <c r="C20" s="65">
        <f>SUM(C18:C19)</f>
        <v>365</v>
      </c>
      <c r="D20" s="208">
        <f>SUM(D18:D19)</f>
        <v>0</v>
      </c>
      <c r="E20" s="65">
        <f>SUM(E18:E19)</f>
        <v>365</v>
      </c>
    </row>
    <row r="21" spans="1:5" x14ac:dyDescent="0.25">
      <c r="A21" s="72"/>
      <c r="B21" s="44"/>
      <c r="C21" s="64"/>
      <c r="D21" s="369"/>
      <c r="E21" s="64"/>
    </row>
    <row r="22" spans="1:5" x14ac:dyDescent="0.25">
      <c r="A22" s="72">
        <v>542200</v>
      </c>
      <c r="B22" s="44" t="s">
        <v>159</v>
      </c>
      <c r="C22" s="64">
        <v>400</v>
      </c>
      <c r="D22" s="369"/>
      <c r="E22" s="64">
        <f>SUM(C22:D22)</f>
        <v>400</v>
      </c>
    </row>
    <row r="23" spans="1:5" x14ac:dyDescent="0.25">
      <c r="A23" s="72">
        <v>543500</v>
      </c>
      <c r="B23" s="44" t="s">
        <v>160</v>
      </c>
      <c r="C23" s="64">
        <v>3000</v>
      </c>
      <c r="D23" s="369"/>
      <c r="E23" s="64">
        <f>SUM(C23:D23)</f>
        <v>3000</v>
      </c>
    </row>
    <row r="24" spans="1:5" x14ac:dyDescent="0.25">
      <c r="A24" s="72">
        <v>542900</v>
      </c>
      <c r="B24" s="44" t="s">
        <v>28</v>
      </c>
      <c r="C24" s="64">
        <v>7500</v>
      </c>
      <c r="D24" s="369"/>
      <c r="E24" s="64">
        <f>SUM(C24:D24)</f>
        <v>7500</v>
      </c>
    </row>
    <row r="25" spans="1:5" x14ac:dyDescent="0.25">
      <c r="A25" s="72">
        <v>543700</v>
      </c>
      <c r="B25" s="44" t="s">
        <v>43</v>
      </c>
      <c r="C25" s="64">
        <v>300</v>
      </c>
      <c r="D25" s="369"/>
      <c r="E25" s="64">
        <f>SUM(C25:D25)</f>
        <v>300</v>
      </c>
    </row>
    <row r="26" spans="1:5" x14ac:dyDescent="0.25">
      <c r="A26" s="43"/>
      <c r="B26" s="43" t="s">
        <v>9</v>
      </c>
      <c r="C26" s="65">
        <f>SUM(C22:C25)</f>
        <v>11200</v>
      </c>
      <c r="D26" s="208">
        <f>SUM(D22:D25)</f>
        <v>0</v>
      </c>
      <c r="E26" s="65">
        <f>SUM(E22:E25)</f>
        <v>11200</v>
      </c>
    </row>
    <row r="27" spans="1:5" x14ac:dyDescent="0.25">
      <c r="A27" s="72"/>
      <c r="B27" s="44"/>
      <c r="C27" s="64"/>
      <c r="D27" s="369"/>
      <c r="E27" s="64"/>
    </row>
    <row r="28" spans="1:5" x14ac:dyDescent="0.25">
      <c r="A28" s="72">
        <v>552400</v>
      </c>
      <c r="B28" s="44" t="s">
        <v>11</v>
      </c>
      <c r="C28" s="64">
        <v>5237</v>
      </c>
      <c r="D28" s="369"/>
      <c r="E28" s="64">
        <f>SUM(C28:D28)</f>
        <v>5237</v>
      </c>
    </row>
    <row r="29" spans="1:5" x14ac:dyDescent="0.25">
      <c r="A29" s="72"/>
      <c r="B29" s="43" t="s">
        <v>12</v>
      </c>
      <c r="C29" s="65">
        <f>SUM(C28)</f>
        <v>5237</v>
      </c>
      <c r="D29" s="208">
        <f>SUM(D28)</f>
        <v>0</v>
      </c>
      <c r="E29" s="65">
        <f>SUM(E28)</f>
        <v>5237</v>
      </c>
    </row>
    <row r="30" spans="1:5" x14ac:dyDescent="0.25">
      <c r="A30" s="9"/>
      <c r="B30" s="9"/>
      <c r="C30" s="64"/>
      <c r="D30" s="369"/>
      <c r="E30" s="64"/>
    </row>
    <row r="31" spans="1:5" s="1" customFormat="1" ht="13.8" x14ac:dyDescent="0.25">
      <c r="A31" s="10"/>
      <c r="B31" s="24" t="s">
        <v>82</v>
      </c>
      <c r="C31" s="67">
        <f>SUM(C20+C26+C29)</f>
        <v>16802</v>
      </c>
      <c r="D31" s="214">
        <f>SUM(D20+D26+D29)</f>
        <v>0</v>
      </c>
      <c r="E31" s="67">
        <f>SUM(E20+E26+E29)</f>
        <v>16802</v>
      </c>
    </row>
    <row r="32" spans="1:5" x14ac:dyDescent="0.25">
      <c r="A32" s="9"/>
      <c r="B32" s="9"/>
      <c r="C32" s="64"/>
      <c r="D32" s="369"/>
      <c r="E32" s="64"/>
    </row>
    <row r="33" spans="1:5" x14ac:dyDescent="0.25">
      <c r="A33" s="9"/>
      <c r="B33" s="9"/>
      <c r="C33" s="64"/>
      <c r="D33" s="369"/>
      <c r="E33" s="64"/>
    </row>
    <row r="34" spans="1:5" s="23" customFormat="1" ht="15.6" x14ac:dyDescent="0.3">
      <c r="A34" s="12" t="s">
        <v>161</v>
      </c>
      <c r="B34" s="12"/>
      <c r="C34" s="70">
        <f>SUM(C15+C31)</f>
        <v>245732</v>
      </c>
      <c r="D34" s="209">
        <f>SUM(D15+D31)</f>
        <v>-21089</v>
      </c>
      <c r="E34" s="70">
        <f>SUM(E15+E31)</f>
        <v>224643</v>
      </c>
    </row>
  </sheetData>
  <mergeCells count="1">
    <mergeCell ref="A4:B4"/>
  </mergeCells>
  <phoneticPr fontId="0" type="noConversion"/>
  <printOptions horizontalCentered="1"/>
  <pageMargins left="0.75" right="0.75" top="1" bottom="1" header="0.5" footer="0.5"/>
  <pageSetup scale="77" firstPageNumber="7" orientation="portrait" useFirstPageNumber="1" r:id="rId1"/>
  <headerFooter alignWithMargins="0">
    <oddFooter>&amp;C&amp;"Arial,Bold"&amp;P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E35"/>
  <sheetViews>
    <sheetView workbookViewId="0">
      <selection activeCell="D11" sqref="D11"/>
    </sheetView>
  </sheetViews>
  <sheetFormatPr defaultRowHeight="13.2" x14ac:dyDescent="0.25"/>
  <cols>
    <col min="1" max="1" width="11.6640625" customWidth="1"/>
    <col min="2" max="2" width="52.6640625" customWidth="1"/>
    <col min="3" max="3" width="17.6640625" customWidth="1"/>
    <col min="4" max="4" width="17.6640625" style="210" customWidth="1"/>
    <col min="5" max="5" width="17.6640625" customWidth="1"/>
  </cols>
  <sheetData>
    <row r="1" spans="1:5" ht="15.6" x14ac:dyDescent="0.3">
      <c r="A1" s="5" t="s">
        <v>261</v>
      </c>
    </row>
    <row r="2" spans="1:5" ht="15.6" x14ac:dyDescent="0.3">
      <c r="A2" s="5" t="s">
        <v>510</v>
      </c>
    </row>
    <row r="3" spans="1:5" ht="13.8" thickBot="1" x14ac:dyDescent="0.3"/>
    <row r="4" spans="1:5" ht="15.6" x14ac:dyDescent="0.3">
      <c r="A4" s="413" t="s">
        <v>141</v>
      </c>
      <c r="B4" s="414"/>
      <c r="C4" s="94" t="s">
        <v>483</v>
      </c>
      <c r="D4" s="356"/>
      <c r="E4" s="362" t="s">
        <v>511</v>
      </c>
    </row>
    <row r="5" spans="1:5" ht="15.6" x14ac:dyDescent="0.3">
      <c r="A5" s="60"/>
      <c r="B5" s="61"/>
      <c r="C5" s="93" t="s">
        <v>345</v>
      </c>
      <c r="D5" s="358"/>
      <c r="E5" s="363" t="s">
        <v>342</v>
      </c>
    </row>
    <row r="6" spans="1:5" ht="16.2" thickBot="1" x14ac:dyDescent="0.35">
      <c r="A6" s="13"/>
      <c r="B6" s="14"/>
      <c r="C6" s="14" t="s">
        <v>290</v>
      </c>
      <c r="D6" s="360" t="s">
        <v>493</v>
      </c>
      <c r="E6" s="364" t="s">
        <v>290</v>
      </c>
    </row>
    <row r="7" spans="1:5" ht="13.8" x14ac:dyDescent="0.25">
      <c r="A7" s="62">
        <v>71102</v>
      </c>
      <c r="B7" s="78" t="s">
        <v>32</v>
      </c>
      <c r="C7" s="25"/>
      <c r="D7" s="213"/>
      <c r="E7" s="25"/>
    </row>
    <row r="8" spans="1:5" x14ac:dyDescent="0.25">
      <c r="A8" s="20">
        <v>542970</v>
      </c>
      <c r="B8" s="26" t="s">
        <v>133</v>
      </c>
      <c r="C8" s="64">
        <v>360000</v>
      </c>
      <c r="D8" s="369"/>
      <c r="E8" s="64">
        <f>SUM(C8:D8)</f>
        <v>360000</v>
      </c>
    </row>
    <row r="9" spans="1:5" x14ac:dyDescent="0.25">
      <c r="A9" s="20">
        <v>542960</v>
      </c>
      <c r="B9" s="26" t="s">
        <v>31</v>
      </c>
      <c r="C9" s="64">
        <f>7500+151575</f>
        <v>159075</v>
      </c>
      <c r="D9" s="369">
        <v>-135000</v>
      </c>
      <c r="E9" s="64">
        <f>SUM(C9:D9)</f>
        <v>24075</v>
      </c>
    </row>
    <row r="10" spans="1:5" x14ac:dyDescent="0.25">
      <c r="A10" s="20">
        <v>542980</v>
      </c>
      <c r="B10" s="26" t="s">
        <v>134</v>
      </c>
      <c r="C10" s="64">
        <v>460000</v>
      </c>
      <c r="D10" s="369">
        <v>-13439</v>
      </c>
      <c r="E10" s="64">
        <f>SUM(C10:D10)</f>
        <v>446561</v>
      </c>
    </row>
    <row r="11" spans="1:5" x14ac:dyDescent="0.25">
      <c r="A11" s="6"/>
      <c r="B11" s="6" t="s">
        <v>9</v>
      </c>
      <c r="C11" s="65">
        <f>SUM(C8:C10)</f>
        <v>979075</v>
      </c>
      <c r="D11" s="208">
        <f>SUM(D8:D10)</f>
        <v>-148439</v>
      </c>
      <c r="E11" s="65">
        <f>SUM(E8:E10)</f>
        <v>830636</v>
      </c>
    </row>
    <row r="12" spans="1:5" x14ac:dyDescent="0.25">
      <c r="A12" s="20"/>
      <c r="B12" s="34"/>
      <c r="C12" s="64"/>
      <c r="D12" s="369"/>
      <c r="E12" s="64"/>
    </row>
    <row r="13" spans="1:5" ht="13.8" x14ac:dyDescent="0.25">
      <c r="A13" s="6"/>
      <c r="B13" s="24" t="s">
        <v>81</v>
      </c>
      <c r="C13" s="67">
        <f>SUM(C11)</f>
        <v>979075</v>
      </c>
      <c r="D13" s="214">
        <f>SUM(D11)</f>
        <v>-148439</v>
      </c>
      <c r="E13" s="67">
        <f>SUM(E11)</f>
        <v>830636</v>
      </c>
    </row>
    <row r="14" spans="1:5" x14ac:dyDescent="0.25">
      <c r="A14" s="6"/>
      <c r="B14" s="10"/>
      <c r="C14" s="64"/>
      <c r="D14" s="369"/>
      <c r="E14" s="64"/>
    </row>
    <row r="15" spans="1:5" ht="13.8" x14ac:dyDescent="0.25">
      <c r="A15" s="63">
        <v>72219</v>
      </c>
      <c r="B15" s="45" t="s">
        <v>37</v>
      </c>
      <c r="C15" s="64"/>
      <c r="D15" s="369"/>
      <c r="E15" s="64"/>
    </row>
    <row r="16" spans="1:5" ht="12.75" customHeight="1" x14ac:dyDescent="0.25">
      <c r="A16" s="20">
        <v>534800</v>
      </c>
      <c r="B16" s="26" t="s">
        <v>335</v>
      </c>
      <c r="C16" s="64">
        <v>5358</v>
      </c>
      <c r="D16" s="369"/>
      <c r="E16" s="64">
        <f>SUM(C16:D16)</f>
        <v>5358</v>
      </c>
    </row>
    <row r="17" spans="1:5" ht="12.75" customHeight="1" x14ac:dyDescent="0.25">
      <c r="A17" s="20">
        <v>535500</v>
      </c>
      <c r="B17" s="26" t="s">
        <v>2</v>
      </c>
      <c r="C17" s="64">
        <v>208</v>
      </c>
      <c r="D17" s="369"/>
      <c r="E17" s="64">
        <f>SUM(C17:D17)</f>
        <v>208</v>
      </c>
    </row>
    <row r="18" spans="1:5" ht="12.75" customHeight="1" x14ac:dyDescent="0.25">
      <c r="A18" s="20">
        <v>535520</v>
      </c>
      <c r="B18" s="26" t="s">
        <v>24</v>
      </c>
      <c r="C18" s="64">
        <v>187</v>
      </c>
      <c r="D18" s="369"/>
      <c r="E18" s="64">
        <f>SUM(C18:D18)</f>
        <v>187</v>
      </c>
    </row>
    <row r="19" spans="1:5" x14ac:dyDescent="0.25">
      <c r="A19" s="20">
        <v>532000</v>
      </c>
      <c r="B19" s="26" t="s">
        <v>94</v>
      </c>
      <c r="C19" s="64">
        <v>1500</v>
      </c>
      <c r="D19" s="369"/>
      <c r="E19" s="64">
        <f>SUM(C19:D19)</f>
        <v>1500</v>
      </c>
    </row>
    <row r="20" spans="1:5" x14ac:dyDescent="0.25">
      <c r="A20" s="6"/>
      <c r="B20" s="6" t="s">
        <v>4</v>
      </c>
      <c r="C20" s="65">
        <f>SUM(C16:C19)</f>
        <v>7253</v>
      </c>
      <c r="D20" s="208">
        <f>SUM(D16:D19)</f>
        <v>0</v>
      </c>
      <c r="E20" s="65">
        <f>SUM(E16:E19)</f>
        <v>7253</v>
      </c>
    </row>
    <row r="21" spans="1:5" x14ac:dyDescent="0.25">
      <c r="A21" s="20"/>
      <c r="B21" s="28"/>
      <c r="C21" s="64"/>
      <c r="D21" s="369"/>
      <c r="E21" s="64"/>
    </row>
    <row r="22" spans="1:5" x14ac:dyDescent="0.25">
      <c r="A22" s="20">
        <v>542200</v>
      </c>
      <c r="B22" s="26" t="s">
        <v>25</v>
      </c>
      <c r="C22" s="64">
        <v>2480</v>
      </c>
      <c r="D22" s="369"/>
      <c r="E22" s="64">
        <f>SUM(C22:D22)</f>
        <v>2480</v>
      </c>
    </row>
    <row r="23" spans="1:5" x14ac:dyDescent="0.25">
      <c r="A23" s="20">
        <v>543500</v>
      </c>
      <c r="B23" s="26" t="s">
        <v>6</v>
      </c>
      <c r="C23" s="64">
        <v>15005</v>
      </c>
      <c r="D23" s="369"/>
      <c r="E23" s="64">
        <f>SUM(C23:D23)</f>
        <v>15005</v>
      </c>
    </row>
    <row r="24" spans="1:5" x14ac:dyDescent="0.25">
      <c r="A24" s="20">
        <v>542900</v>
      </c>
      <c r="B24" s="26" t="s">
        <v>28</v>
      </c>
      <c r="C24" s="64">
        <v>5500</v>
      </c>
      <c r="D24" s="369"/>
      <c r="E24" s="64">
        <f>SUM(C24:D24)</f>
        <v>5500</v>
      </c>
    </row>
    <row r="25" spans="1:5" x14ac:dyDescent="0.25">
      <c r="A25" s="20">
        <v>542950</v>
      </c>
      <c r="B25" s="26" t="s">
        <v>29</v>
      </c>
      <c r="C25" s="64">
        <v>4000</v>
      </c>
      <c r="D25" s="369"/>
      <c r="E25" s="64">
        <f>SUM(C25:D25)</f>
        <v>4000</v>
      </c>
    </row>
    <row r="26" spans="1:5" x14ac:dyDescent="0.25">
      <c r="A26" s="20">
        <v>542960</v>
      </c>
      <c r="B26" s="26" t="s">
        <v>31</v>
      </c>
      <c r="C26" s="64">
        <v>24800</v>
      </c>
      <c r="D26" s="369"/>
      <c r="E26" s="64">
        <f>SUM(C26:D26)</f>
        <v>24800</v>
      </c>
    </row>
    <row r="27" spans="1:5" x14ac:dyDescent="0.25">
      <c r="A27" s="6"/>
      <c r="B27" s="6" t="s">
        <v>9</v>
      </c>
      <c r="C27" s="65">
        <f>SUM(C22:C26)</f>
        <v>51785</v>
      </c>
      <c r="D27" s="208">
        <f>SUM(D22:D26)</f>
        <v>0</v>
      </c>
      <c r="E27" s="65">
        <f>SUM(E22:E26)</f>
        <v>51785</v>
      </c>
    </row>
    <row r="28" spans="1:5" x14ac:dyDescent="0.25">
      <c r="A28" s="20"/>
      <c r="B28" s="28"/>
      <c r="C28" s="64"/>
      <c r="D28" s="369"/>
      <c r="E28" s="64"/>
    </row>
    <row r="29" spans="1:5" x14ac:dyDescent="0.25">
      <c r="A29" s="20">
        <v>552400</v>
      </c>
      <c r="B29" s="26" t="s">
        <v>145</v>
      </c>
      <c r="C29" s="64">
        <f>22341+2125</f>
        <v>24466</v>
      </c>
      <c r="D29" s="369"/>
      <c r="E29" s="64">
        <f>SUM(C29:D29)</f>
        <v>24466</v>
      </c>
    </row>
    <row r="30" spans="1:5" x14ac:dyDescent="0.25">
      <c r="A30" s="20"/>
      <c r="B30" s="6" t="s">
        <v>12</v>
      </c>
      <c r="C30" s="65">
        <f>SUM(C29)</f>
        <v>24466</v>
      </c>
      <c r="D30" s="208">
        <f>SUM(D29)</f>
        <v>0</v>
      </c>
      <c r="E30" s="65">
        <f>SUM(E29)</f>
        <v>24466</v>
      </c>
    </row>
    <row r="31" spans="1:5" x14ac:dyDescent="0.25">
      <c r="A31" s="27"/>
      <c r="B31" s="28"/>
      <c r="C31" s="64"/>
      <c r="D31" s="369"/>
      <c r="E31" s="64"/>
    </row>
    <row r="32" spans="1:5" ht="13.8" x14ac:dyDescent="0.25">
      <c r="A32" s="9"/>
      <c r="B32" s="45" t="s">
        <v>82</v>
      </c>
      <c r="C32" s="67">
        <f>SUM(C20+C27+C30)</f>
        <v>83504</v>
      </c>
      <c r="D32" s="214">
        <f>SUM(D20+D27+D30)</f>
        <v>0</v>
      </c>
      <c r="E32" s="67">
        <f>SUM(E20+E27+E30)</f>
        <v>83504</v>
      </c>
    </row>
    <row r="33" spans="1:5" x14ac:dyDescent="0.25">
      <c r="A33" s="9"/>
      <c r="B33" s="9"/>
      <c r="C33" s="64"/>
      <c r="D33" s="369"/>
      <c r="E33" s="64"/>
    </row>
    <row r="34" spans="1:5" x14ac:dyDescent="0.25">
      <c r="A34" s="9"/>
      <c r="B34" s="9"/>
      <c r="C34" s="64"/>
      <c r="D34" s="369"/>
      <c r="E34" s="64"/>
    </row>
    <row r="35" spans="1:5" ht="15.6" x14ac:dyDescent="0.3">
      <c r="A35" s="12" t="s">
        <v>142</v>
      </c>
      <c r="B35" s="58"/>
      <c r="C35" s="70">
        <f>SUM(C13+C32)</f>
        <v>1062579</v>
      </c>
      <c r="D35" s="209">
        <f>SUM(D13+D32)</f>
        <v>-148439</v>
      </c>
      <c r="E35" s="70">
        <f>SUM(E13+E32)</f>
        <v>914140</v>
      </c>
    </row>
  </sheetData>
  <mergeCells count="1">
    <mergeCell ref="A4:B4"/>
  </mergeCells>
  <phoneticPr fontId="0" type="noConversion"/>
  <printOptions horizontalCentered="1"/>
  <pageMargins left="0.75" right="0.75" top="1" bottom="1" header="0.5" footer="0.5"/>
  <pageSetup scale="77" firstPageNumber="8" orientation="portrait" useFirstPageNumber="1" r:id="rId1"/>
  <headerFooter alignWithMargins="0">
    <oddFooter>&amp;C&amp;"Arial,Bold"&amp;P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77</vt:i4>
      </vt:variant>
      <vt:variant>
        <vt:lpstr>Named Ranges</vt:lpstr>
      </vt:variant>
      <vt:variant>
        <vt:i4>70</vt:i4>
      </vt:variant>
    </vt:vector>
  </HeadingPairs>
  <TitlesOfParts>
    <vt:vector size="147" baseType="lpstr">
      <vt:lpstr>AreasSum</vt:lpstr>
      <vt:lpstr>AreasofU</vt:lpstr>
      <vt:lpstr>summaryLines</vt:lpstr>
      <vt:lpstr>summaryGraph</vt:lpstr>
      <vt:lpstr>Regular</vt:lpstr>
      <vt:lpstr>Support</vt:lpstr>
      <vt:lpstr>Humanities</vt:lpstr>
      <vt:lpstr>Art</vt:lpstr>
      <vt:lpstr>Elem</vt:lpstr>
      <vt:lpstr>Middle</vt:lpstr>
      <vt:lpstr>Sec</vt:lpstr>
      <vt:lpstr>Business</vt:lpstr>
      <vt:lpstr>World</vt:lpstr>
      <vt:lpstr>Health</vt:lpstr>
      <vt:lpstr>Kinder</vt:lpstr>
      <vt:lpstr>LArts</vt:lpstr>
      <vt:lpstr>Math</vt:lpstr>
      <vt:lpstr>Choral</vt:lpstr>
      <vt:lpstr>PE</vt:lpstr>
      <vt:lpstr>Reading</vt:lpstr>
      <vt:lpstr>Science</vt:lpstr>
      <vt:lpstr>SocStudies</vt:lpstr>
      <vt:lpstr>GAT</vt:lpstr>
      <vt:lpstr>InstMusic</vt:lpstr>
      <vt:lpstr>Materials</vt:lpstr>
      <vt:lpstr>Driver</vt:lpstr>
      <vt:lpstr>Screening</vt:lpstr>
      <vt:lpstr>504</vt:lpstr>
      <vt:lpstr>Magnets</vt:lpstr>
      <vt:lpstr>SAS</vt:lpstr>
      <vt:lpstr>Grad</vt:lpstr>
      <vt:lpstr>High Needs</vt:lpstr>
      <vt:lpstr>Alt</vt:lpstr>
      <vt:lpstr>SpEdInst</vt:lpstr>
      <vt:lpstr>SpEdSup</vt:lpstr>
      <vt:lpstr>CTI</vt:lpstr>
      <vt:lpstr>CTS</vt:lpstr>
      <vt:lpstr>TI</vt:lpstr>
      <vt:lpstr>Literacy</vt:lpstr>
      <vt:lpstr>General</vt:lpstr>
      <vt:lpstr>Athletics</vt:lpstr>
      <vt:lpstr>Wellness</vt:lpstr>
      <vt:lpstr>Instruction</vt:lpstr>
      <vt:lpstr>Libraries</vt:lpstr>
      <vt:lpstr>Devel</vt:lpstr>
      <vt:lpstr>Adult</vt:lpstr>
      <vt:lpstr>Summer</vt:lpstr>
      <vt:lpstr>TAP</vt:lpstr>
      <vt:lpstr>FamilyCom</vt:lpstr>
      <vt:lpstr>Grants</vt:lpstr>
      <vt:lpstr>Attendance</vt:lpstr>
      <vt:lpstr>HlthSvs</vt:lpstr>
      <vt:lpstr>OStuSup</vt:lpstr>
      <vt:lpstr>Pupil</vt:lpstr>
      <vt:lpstr>Curriculum</vt:lpstr>
      <vt:lpstr>Transfer</vt:lpstr>
      <vt:lpstr>Guidance</vt:lpstr>
      <vt:lpstr>Prin</vt:lpstr>
      <vt:lpstr>Board</vt:lpstr>
      <vt:lpstr>Super</vt:lpstr>
      <vt:lpstr>Fiscal</vt:lpstr>
      <vt:lpstr>WH</vt:lpstr>
      <vt:lpstr>Security</vt:lpstr>
      <vt:lpstr>Oper</vt:lpstr>
      <vt:lpstr>Maint</vt:lpstr>
      <vt:lpstr>Facilities</vt:lpstr>
      <vt:lpstr>HR Operations</vt:lpstr>
      <vt:lpstr>HR Benefits</vt:lpstr>
      <vt:lpstr>Central</vt:lpstr>
      <vt:lpstr>Tech</vt:lpstr>
      <vt:lpstr>Innovation</vt:lpstr>
      <vt:lpstr>InstrTech</vt:lpstr>
      <vt:lpstr>Publications</vt:lpstr>
      <vt:lpstr>Public</vt:lpstr>
      <vt:lpstr>Accountability</vt:lpstr>
      <vt:lpstr>Trsp</vt:lpstr>
      <vt:lpstr>Other</vt:lpstr>
      <vt:lpstr>'504'!Print_Area</vt:lpstr>
      <vt:lpstr>Accountability!Print_Area</vt:lpstr>
      <vt:lpstr>Adult!Print_Area</vt:lpstr>
      <vt:lpstr>Alt!Print_Area</vt:lpstr>
      <vt:lpstr>AreasofU!Print_Area</vt:lpstr>
      <vt:lpstr>AreasSum!Print_Area</vt:lpstr>
      <vt:lpstr>Athletics!Print_Area</vt:lpstr>
      <vt:lpstr>Attendance!Print_Area</vt:lpstr>
      <vt:lpstr>Board!Print_Area</vt:lpstr>
      <vt:lpstr>Business!Print_Area</vt:lpstr>
      <vt:lpstr>Central!Print_Area</vt:lpstr>
      <vt:lpstr>Choral!Print_Area</vt:lpstr>
      <vt:lpstr>CTI!Print_Area</vt:lpstr>
      <vt:lpstr>CTS!Print_Area</vt:lpstr>
      <vt:lpstr>Curriculum!Print_Area</vt:lpstr>
      <vt:lpstr>Devel!Print_Area</vt:lpstr>
      <vt:lpstr>Driver!Print_Area</vt:lpstr>
      <vt:lpstr>Elem!Print_Area</vt:lpstr>
      <vt:lpstr>Facilities!Print_Area</vt:lpstr>
      <vt:lpstr>FamilyCom!Print_Area</vt:lpstr>
      <vt:lpstr>Fiscal!Print_Area</vt:lpstr>
      <vt:lpstr>GAT!Print_Area</vt:lpstr>
      <vt:lpstr>General!Print_Area</vt:lpstr>
      <vt:lpstr>Guidance!Print_Area</vt:lpstr>
      <vt:lpstr>Health!Print_Area</vt:lpstr>
      <vt:lpstr>'High Needs'!Print_Area</vt:lpstr>
      <vt:lpstr>HlthSvs!Print_Area</vt:lpstr>
      <vt:lpstr>'HR Operations'!Print_Area</vt:lpstr>
      <vt:lpstr>Innovation!Print_Area</vt:lpstr>
      <vt:lpstr>InstMusic!Print_Area</vt:lpstr>
      <vt:lpstr>Instruction!Print_Area</vt:lpstr>
      <vt:lpstr>Kinder!Print_Area</vt:lpstr>
      <vt:lpstr>LArts!Print_Area</vt:lpstr>
      <vt:lpstr>Libraries!Print_Area</vt:lpstr>
      <vt:lpstr>Literacy!Print_Area</vt:lpstr>
      <vt:lpstr>Magnets!Print_Area</vt:lpstr>
      <vt:lpstr>Maint!Print_Area</vt:lpstr>
      <vt:lpstr>Materials!Print_Area</vt:lpstr>
      <vt:lpstr>Math!Print_Area</vt:lpstr>
      <vt:lpstr>Middle!Print_Area</vt:lpstr>
      <vt:lpstr>Oper!Print_Area</vt:lpstr>
      <vt:lpstr>OStuSup!Print_Area</vt:lpstr>
      <vt:lpstr>Other!Print_Area</vt:lpstr>
      <vt:lpstr>PE!Print_Area</vt:lpstr>
      <vt:lpstr>Prin!Print_Area</vt:lpstr>
      <vt:lpstr>Public!Print_Area</vt:lpstr>
      <vt:lpstr>Publications!Print_Area</vt:lpstr>
      <vt:lpstr>Pupil!Print_Area</vt:lpstr>
      <vt:lpstr>Reading!Print_Area</vt:lpstr>
      <vt:lpstr>Regular!Print_Area</vt:lpstr>
      <vt:lpstr>SAS!Print_Area</vt:lpstr>
      <vt:lpstr>Science!Print_Area</vt:lpstr>
      <vt:lpstr>Screening!Print_Area</vt:lpstr>
      <vt:lpstr>Sec!Print_Area</vt:lpstr>
      <vt:lpstr>Security!Print_Area</vt:lpstr>
      <vt:lpstr>SocStudies!Print_Area</vt:lpstr>
      <vt:lpstr>summaryGraph!Print_Area</vt:lpstr>
      <vt:lpstr>summaryLines!Print_Area</vt:lpstr>
      <vt:lpstr>Summer!Print_Area</vt:lpstr>
      <vt:lpstr>Support!Print_Area</vt:lpstr>
      <vt:lpstr>Tech!Print_Area</vt:lpstr>
      <vt:lpstr>TI!Print_Area</vt:lpstr>
      <vt:lpstr>Transfer!Print_Area</vt:lpstr>
      <vt:lpstr>Trsp!Print_Area</vt:lpstr>
      <vt:lpstr>Wellness!Print_Area</vt:lpstr>
      <vt:lpstr>WH!Print_Area</vt:lpstr>
      <vt:lpstr>World!Print_Area</vt:lpstr>
      <vt:lpstr>AreasofU!Print_Titles</vt:lpstr>
      <vt:lpstr>summaryLines!Print_Titles</vt:lpstr>
      <vt:lpstr>Trsp!Print_Titles</vt:lpstr>
    </vt:vector>
  </TitlesOfParts>
  <Company>Knox County Schools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 Underwood</dc:creator>
  <cp:lastModifiedBy>LIZABETH MCLEOD</cp:lastModifiedBy>
  <cp:lastPrinted>2014-05-31T18:49:15Z</cp:lastPrinted>
  <dcterms:created xsi:type="dcterms:W3CDTF">2006-02-06T15:49:48Z</dcterms:created>
  <dcterms:modified xsi:type="dcterms:W3CDTF">2014-06-02T21:39:55Z</dcterms:modified>
</cp:coreProperties>
</file>